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egKnight\_BRG\training\BRG Facility Siting Regulations and Hazard Analysis Techniques\Workshop\"/>
    </mc:Choice>
  </mc:AlternateContent>
  <xr:revisionPtr revIDLastSave="0" documentId="13_ncr:1_{39F26AB5-CDC8-4870-8FA4-C7668F81E8F0}" xr6:coauthVersionLast="47" xr6:coauthVersionMax="47" xr10:uidLastSave="{00000000-0000-0000-0000-000000000000}"/>
  <bookViews>
    <workbookView xWindow="-120" yWindow="-120" windowWidth="29040" windowHeight="15720" activeTab="1" xr2:uid="{B8449268-CE17-4D93-848D-A79460EA5FAB}"/>
  </bookViews>
  <sheets>
    <sheet name="Part 1" sheetId="1" r:id="rId1"/>
    <sheet name="Part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4" i="2"/>
  <c r="E30" i="1"/>
  <c r="E8" i="1"/>
  <c r="E22" i="1" l="1"/>
  <c r="K7" i="1"/>
  <c r="C5" i="2" s="1"/>
  <c r="M5" i="2" s="1"/>
  <c r="K8" i="1"/>
  <c r="C6" i="2" s="1"/>
  <c r="M6" i="2" s="1"/>
  <c r="K9" i="1"/>
  <c r="C7" i="2" s="1"/>
  <c r="M7" i="2" s="1"/>
  <c r="K10" i="1"/>
  <c r="C8" i="2" s="1"/>
  <c r="M9" i="2" s="1"/>
  <c r="O9" i="2" s="1"/>
  <c r="K11" i="1"/>
  <c r="C9" i="2" s="1"/>
  <c r="M10" i="2" s="1"/>
  <c r="K12" i="1"/>
  <c r="C10" i="2" s="1"/>
  <c r="M11" i="2" s="1"/>
  <c r="K13" i="1"/>
  <c r="C11" i="2" s="1"/>
  <c r="M12" i="2" s="1"/>
  <c r="K14" i="1"/>
  <c r="C12" i="2" s="1"/>
  <c r="M14" i="2" s="1"/>
  <c r="O14" i="2" s="1"/>
  <c r="K15" i="1"/>
  <c r="C13" i="2" s="1"/>
  <c r="M15" i="2" s="1"/>
  <c r="K16" i="1"/>
  <c r="C14" i="2" s="1"/>
  <c r="M16" i="2" s="1"/>
  <c r="K17" i="1"/>
  <c r="C15" i="2" s="1"/>
  <c r="M17" i="2" s="1"/>
  <c r="K18" i="1"/>
  <c r="C16" i="2" s="1"/>
  <c r="M18" i="2" s="1"/>
  <c r="K19" i="1"/>
  <c r="C17" i="2" s="1"/>
  <c r="M19" i="2" s="1"/>
  <c r="K20" i="1"/>
  <c r="C18" i="2" s="1"/>
  <c r="M20" i="2" s="1"/>
  <c r="O20" i="2" s="1"/>
  <c r="K21" i="1"/>
  <c r="C19" i="2" s="1"/>
  <c r="M21" i="2" s="1"/>
  <c r="K22" i="1"/>
  <c r="C20" i="2" s="1"/>
  <c r="M22" i="2" s="1"/>
  <c r="K23" i="1"/>
  <c r="C21" i="2" s="1"/>
  <c r="M23" i="2" s="1"/>
  <c r="K24" i="1"/>
  <c r="C22" i="2" s="1"/>
  <c r="M24" i="2" s="1"/>
  <c r="K25" i="1"/>
  <c r="C23" i="2" s="1"/>
  <c r="M25" i="2" s="1"/>
  <c r="O25" i="2" s="1"/>
  <c r="K26" i="1"/>
  <c r="C24" i="2" s="1"/>
  <c r="M26" i="2" s="1"/>
  <c r="K27" i="1"/>
  <c r="C25" i="2" s="1"/>
  <c r="M27" i="2" s="1"/>
  <c r="K28" i="1"/>
  <c r="C26" i="2" s="1"/>
  <c r="M28" i="2" s="1"/>
  <c r="K29" i="1"/>
  <c r="C27" i="2" s="1"/>
  <c r="M29" i="2" s="1"/>
  <c r="O29" i="2" s="1"/>
  <c r="K30" i="1"/>
  <c r="C28" i="2" s="1"/>
  <c r="M30" i="2" s="1"/>
  <c r="O30" i="2" s="1"/>
  <c r="K31" i="1"/>
  <c r="C29" i="2" s="1"/>
  <c r="M31" i="2" s="1"/>
  <c r="K32" i="1"/>
  <c r="C30" i="2" s="1"/>
  <c r="M32" i="2" s="1"/>
  <c r="K33" i="1"/>
  <c r="C31" i="2" s="1"/>
  <c r="M33" i="2" s="1"/>
  <c r="O33" i="2" s="1"/>
  <c r="K34" i="1"/>
  <c r="C32" i="2" s="1"/>
  <c r="M34" i="2" s="1"/>
  <c r="O34" i="2" s="1"/>
  <c r="K35" i="1"/>
  <c r="C33" i="2" s="1"/>
  <c r="M35" i="2" s="1"/>
  <c r="K6" i="1"/>
  <c r="C4" i="2" s="1"/>
  <c r="M4" i="2" s="1"/>
  <c r="E20" i="1"/>
  <c r="E19" i="1"/>
  <c r="E27" i="1" s="1"/>
  <c r="E28" i="1" s="1"/>
  <c r="E29" i="1" s="1"/>
  <c r="E25" i="1"/>
  <c r="E26" i="1" s="1"/>
  <c r="O17" i="2" l="1"/>
  <c r="O23" i="2"/>
  <c r="O31" i="2"/>
  <c r="O6" i="2"/>
  <c r="O32" i="2"/>
  <c r="O18" i="2"/>
  <c r="O24" i="2"/>
  <c r="O11" i="2"/>
  <c r="O10" i="2"/>
  <c r="O21" i="2"/>
  <c r="O19" i="2"/>
  <c r="O15" i="2"/>
  <c r="O5" i="2"/>
  <c r="O27" i="2"/>
  <c r="O28" i="2"/>
  <c r="O13" i="2"/>
  <c r="O12" i="2"/>
  <c r="O8" i="2"/>
  <c r="O7" i="2"/>
  <c r="O35" i="2"/>
  <c r="O16" i="2"/>
  <c r="O26" i="2"/>
  <c r="O22" i="2"/>
  <c r="L6" i="1"/>
  <c r="M6" i="1" s="1"/>
  <c r="L20" i="1" l="1"/>
  <c r="L23" i="1"/>
  <c r="L24" i="1"/>
  <c r="L27" i="1"/>
  <c r="L28" i="1"/>
  <c r="L29" i="1"/>
  <c r="L34" i="1"/>
  <c r="L16" i="1"/>
  <c r="L21" i="1"/>
  <c r="L22" i="1"/>
  <c r="L25" i="1"/>
  <c r="L26" i="1"/>
  <c r="L7" i="1"/>
  <c r="L8" i="1"/>
  <c r="L10" i="1"/>
  <c r="L11" i="1"/>
  <c r="L12" i="1"/>
  <c r="L35" i="1"/>
  <c r="L14" i="1"/>
  <c r="L17" i="1"/>
  <c r="L18" i="1"/>
  <c r="L19" i="1"/>
  <c r="L30" i="1"/>
  <c r="L9" i="1"/>
  <c r="L31" i="1"/>
  <c r="L32" i="1"/>
  <c r="L33" i="1"/>
  <c r="L13" i="1"/>
  <c r="L15" i="1"/>
  <c r="M22" i="1" l="1"/>
  <c r="N22" i="1"/>
  <c r="O22" i="1" s="1"/>
  <c r="D20" i="2" s="1"/>
  <c r="N22" i="2" s="1"/>
  <c r="M30" i="1"/>
  <c r="N30" i="1"/>
  <c r="O30" i="1" s="1"/>
  <c r="D28" i="2" s="1"/>
  <c r="N30" i="2" s="1"/>
  <c r="M20" i="1"/>
  <c r="N20" i="1"/>
  <c r="M18" i="1"/>
  <c r="N18" i="1"/>
  <c r="M17" i="1"/>
  <c r="N17" i="1"/>
  <c r="O17" i="1" s="1"/>
  <c r="D15" i="2" s="1"/>
  <c r="N17" i="2" s="1"/>
  <c r="M35" i="1"/>
  <c r="N35" i="1"/>
  <c r="M12" i="1"/>
  <c r="N12" i="1"/>
  <c r="M10" i="1"/>
  <c r="N10" i="1"/>
  <c r="M8" i="1"/>
  <c r="N8" i="1"/>
  <c r="O8" i="1" s="1"/>
  <c r="D6" i="2" s="1"/>
  <c r="N6" i="2" s="1"/>
  <c r="M7" i="1"/>
  <c r="N7" i="1"/>
  <c r="M26" i="1"/>
  <c r="N26" i="1"/>
  <c r="O26" i="1" s="1"/>
  <c r="D24" i="2" s="1"/>
  <c r="N26" i="2" s="1"/>
  <c r="M25" i="1"/>
  <c r="N25" i="1"/>
  <c r="O25" i="1" s="1"/>
  <c r="D23" i="2" s="1"/>
  <c r="N25" i="2" s="1"/>
  <c r="M21" i="1"/>
  <c r="N21" i="1"/>
  <c r="O21" i="1" s="1"/>
  <c r="D19" i="2" s="1"/>
  <c r="N21" i="2" s="1"/>
  <c r="M23" i="1"/>
  <c r="N23" i="1"/>
  <c r="M19" i="1"/>
  <c r="N19" i="1"/>
  <c r="O19" i="1" s="1"/>
  <c r="D17" i="2" s="1"/>
  <c r="N19" i="2" s="1"/>
  <c r="N6" i="1"/>
  <c r="O6" i="1" s="1"/>
  <c r="D4" i="2" s="1"/>
  <c r="N4" i="2" s="1"/>
  <c r="M14" i="1"/>
  <c r="N14" i="1"/>
  <c r="M11" i="1"/>
  <c r="N11" i="1"/>
  <c r="M15" i="1"/>
  <c r="N15" i="1"/>
  <c r="M16" i="1"/>
  <c r="N16" i="1"/>
  <c r="M13" i="1"/>
  <c r="N13" i="1"/>
  <c r="O13" i="1" s="1"/>
  <c r="D11" i="2" s="1"/>
  <c r="M34" i="1"/>
  <c r="N34" i="1"/>
  <c r="M33" i="1"/>
  <c r="N33" i="1"/>
  <c r="M29" i="1"/>
  <c r="N29" i="1"/>
  <c r="M32" i="1"/>
  <c r="N32" i="1"/>
  <c r="M28" i="1"/>
  <c r="N28" i="1"/>
  <c r="O28" i="1" s="1"/>
  <c r="D26" i="2" s="1"/>
  <c r="N28" i="2" s="1"/>
  <c r="M31" i="1"/>
  <c r="N31" i="1"/>
  <c r="O31" i="1" s="1"/>
  <c r="D29" i="2" s="1"/>
  <c r="N31" i="2" s="1"/>
  <c r="M27" i="1"/>
  <c r="N27" i="1"/>
  <c r="M9" i="1"/>
  <c r="N9" i="1"/>
  <c r="M24" i="1"/>
  <c r="N24" i="1"/>
  <c r="O24" i="1" s="1"/>
  <c r="D22" i="2" s="1"/>
  <c r="N24" i="2" s="1"/>
  <c r="O11" i="1" l="1"/>
  <c r="D9" i="2" s="1"/>
  <c r="N10" i="2" s="1"/>
  <c r="O7" i="1"/>
  <c r="D5" i="2" s="1"/>
  <c r="N5" i="2" s="1"/>
  <c r="O16" i="1"/>
  <c r="D14" i="2" s="1"/>
  <c r="N16" i="2" s="1"/>
  <c r="P17" i="2" s="1"/>
  <c r="O20" i="1"/>
  <c r="D18" i="2" s="1"/>
  <c r="N20" i="2" s="1"/>
  <c r="P21" i="2" s="1"/>
  <c r="O10" i="1"/>
  <c r="D8" i="2" s="1"/>
  <c r="N9" i="2" s="1"/>
  <c r="P10" i="2" s="1"/>
  <c r="O9" i="1"/>
  <c r="D7" i="2" s="1"/>
  <c r="O27" i="1"/>
  <c r="D25" i="2" s="1"/>
  <c r="N27" i="2" s="1"/>
  <c r="N12" i="2"/>
  <c r="O12" i="1"/>
  <c r="D10" i="2" s="1"/>
  <c r="N11" i="2" s="1"/>
  <c r="P12" i="2" s="1"/>
  <c r="O14" i="1"/>
  <c r="D12" i="2" s="1"/>
  <c r="N14" i="2" s="1"/>
  <c r="O15" i="1"/>
  <c r="D13" i="2" s="1"/>
  <c r="N15" i="2" s="1"/>
  <c r="P16" i="2" s="1"/>
  <c r="O29" i="1"/>
  <c r="D27" i="2" s="1"/>
  <c r="N29" i="2" s="1"/>
  <c r="O32" i="1"/>
  <c r="D30" i="2" s="1"/>
  <c r="N32" i="2" s="1"/>
  <c r="O35" i="1"/>
  <c r="D33" i="2" s="1"/>
  <c r="N35" i="2" s="1"/>
  <c r="O23" i="1"/>
  <c r="D21" i="2" s="1"/>
  <c r="N23" i="2" s="1"/>
  <c r="O18" i="1"/>
  <c r="D16" i="2" s="1"/>
  <c r="N18" i="2" s="1"/>
  <c r="P19" i="2" s="1"/>
  <c r="O33" i="1"/>
  <c r="D31" i="2" s="1"/>
  <c r="N33" i="2" s="1"/>
  <c r="O34" i="1"/>
  <c r="D32" i="2" s="1"/>
  <c r="N34" i="2" s="1"/>
  <c r="P20" i="2" l="1"/>
  <c r="I4" i="2"/>
  <c r="N13" i="2" s="1"/>
  <c r="P14" i="2" s="1"/>
  <c r="N7" i="2"/>
  <c r="I3" i="2"/>
  <c r="N8" i="2" s="1"/>
  <c r="P9" i="2" s="1"/>
  <c r="Q9" i="2" s="1"/>
  <c r="Q10" i="2" s="1"/>
  <c r="P18" i="2"/>
  <c r="P15" i="2"/>
  <c r="P11" i="2"/>
  <c r="P13" i="2" l="1"/>
  <c r="Q11" i="2"/>
  <c r="Q12" i="2" s="1"/>
  <c r="Q13" i="2" l="1"/>
  <c r="Q14" i="2" s="1"/>
  <c r="Q15" i="2" s="1"/>
  <c r="Q16" i="2" s="1"/>
  <c r="Q17" i="2" s="1"/>
  <c r="Q18" i="2" s="1"/>
  <c r="Q19" i="2" s="1"/>
  <c r="Q20" i="2" s="1"/>
  <c r="Q21" i="2" s="1"/>
</calcChain>
</file>

<file path=xl/sharedStrings.xml><?xml version="1.0" encoding="utf-8"?>
<sst xmlns="http://schemas.openxmlformats.org/spreadsheetml/2006/main" count="87" uniqueCount="61">
  <si>
    <t>Input Data:</t>
  </si>
  <si>
    <t>Distance from flame:</t>
  </si>
  <si>
    <t>m</t>
  </si>
  <si>
    <t>Hole diameter:</t>
  </si>
  <si>
    <t>mm</t>
  </si>
  <si>
    <t>Leak height above ground:</t>
  </si>
  <si>
    <t>Gas pressure:</t>
  </si>
  <si>
    <t>bar gauge</t>
  </si>
  <si>
    <t>Ambient temperature:</t>
  </si>
  <si>
    <t>K</t>
  </si>
  <si>
    <t>Relative humidity:</t>
  </si>
  <si>
    <t>%</t>
  </si>
  <si>
    <t>Heat capacity ratio for gas:</t>
  </si>
  <si>
    <t>Heat of combustion for gas:</t>
  </si>
  <si>
    <t>kJ/kg</t>
  </si>
  <si>
    <t>Molecular weight of gas:</t>
  </si>
  <si>
    <t>Flame temperature:</t>
  </si>
  <si>
    <t>Discharge coefficient for hole:</t>
  </si>
  <si>
    <t>Ambient pressure:</t>
  </si>
  <si>
    <t>Pa</t>
  </si>
  <si>
    <t>Fuel mole fraction at stoichiometric:</t>
  </si>
  <si>
    <t>Moles of reactant per mole of product:</t>
  </si>
  <si>
    <t>Molecular weight of air:</t>
  </si>
  <si>
    <t>Fraction of total energy converted:</t>
  </si>
  <si>
    <t>Calculated Results:</t>
  </si>
  <si>
    <t>Area of hole:</t>
  </si>
  <si>
    <t>m**2</t>
  </si>
  <si>
    <t>Gas discharge rate:</t>
  </si>
  <si>
    <t>kg/s</t>
  </si>
  <si>
    <t>L/d ratio for flame:</t>
  </si>
  <si>
    <t>Flame height:</t>
  </si>
  <si>
    <t>Location of flame center above ground:</t>
  </si>
  <si>
    <t>Water vapor partial pressure:</t>
  </si>
  <si>
    <t>kW/m**2</t>
  </si>
  <si>
    <t>Distance</t>
  </si>
  <si>
    <t>propane</t>
  </si>
  <si>
    <t>C3H8 + 5O2 + 18.8N2 ==&gt; 3CO2 + 4H2O + 18.8N2</t>
  </si>
  <si>
    <t>ft</t>
  </si>
  <si>
    <t>Path Length</t>
  </si>
  <si>
    <t>View F</t>
  </si>
  <si>
    <t>-</t>
  </si>
  <si>
    <t>Transmissivity</t>
  </si>
  <si>
    <t>Flux</t>
  </si>
  <si>
    <t>Horiz Distance</t>
  </si>
  <si>
    <t>PHAST, 1m/s F stab</t>
  </si>
  <si>
    <t>kW/m2</t>
  </si>
  <si>
    <t>Building A at 80 ft</t>
  </si>
  <si>
    <t>Building B at 140 ft</t>
  </si>
  <si>
    <t>Time</t>
  </si>
  <si>
    <t>sec</t>
  </si>
  <si>
    <t>Evac speed</t>
  </si>
  <si>
    <t xml:space="preserve">mph </t>
  </si>
  <si>
    <t>ft/sec</t>
  </si>
  <si>
    <t>Seg Dose</t>
  </si>
  <si>
    <t>Cumulative Dose</t>
  </si>
  <si>
    <t>s(kW/m2)^4/3</t>
  </si>
  <si>
    <t>Radiant Flux from a Vertical Gas Jet Fire</t>
  </si>
  <si>
    <t>Source: CPQRA Example 2.31</t>
  </si>
  <si>
    <t>Chemical:</t>
  </si>
  <si>
    <t>Equation:</t>
  </si>
  <si>
    <t>for propane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</si>
</sst>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Spreadsheet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'Part 1'!$K$6:$K$35</c:f>
              <c:numCache>
                <c:formatCode>General</c:formatCode>
                <c:ptCount val="30"/>
                <c:pt idx="0">
                  <c:v>16.399999999999999</c:v>
                </c:pt>
                <c:pt idx="1">
                  <c:v>32.799999999999997</c:v>
                </c:pt>
                <c:pt idx="2">
                  <c:v>49.199999999999996</c:v>
                </c:pt>
                <c:pt idx="3">
                  <c:v>65.599999999999994</c:v>
                </c:pt>
                <c:pt idx="4">
                  <c:v>82</c:v>
                </c:pt>
                <c:pt idx="5">
                  <c:v>98.399999999999991</c:v>
                </c:pt>
                <c:pt idx="6">
                  <c:v>114.8</c:v>
                </c:pt>
                <c:pt idx="7">
                  <c:v>131.19999999999999</c:v>
                </c:pt>
                <c:pt idx="8">
                  <c:v>147.6</c:v>
                </c:pt>
                <c:pt idx="9">
                  <c:v>164</c:v>
                </c:pt>
                <c:pt idx="10">
                  <c:v>180.39999999999998</c:v>
                </c:pt>
                <c:pt idx="11">
                  <c:v>196.79999999999998</c:v>
                </c:pt>
                <c:pt idx="12">
                  <c:v>213.2</c:v>
                </c:pt>
                <c:pt idx="13">
                  <c:v>229.6</c:v>
                </c:pt>
                <c:pt idx="14">
                  <c:v>245.99999999999997</c:v>
                </c:pt>
                <c:pt idx="15">
                  <c:v>262.39999999999998</c:v>
                </c:pt>
                <c:pt idx="16">
                  <c:v>278.8</c:v>
                </c:pt>
                <c:pt idx="17">
                  <c:v>295.2</c:v>
                </c:pt>
                <c:pt idx="18">
                  <c:v>311.59999999999997</c:v>
                </c:pt>
                <c:pt idx="19">
                  <c:v>328</c:v>
                </c:pt>
                <c:pt idx="20">
                  <c:v>344.4</c:v>
                </c:pt>
                <c:pt idx="21">
                  <c:v>360.79999999999995</c:v>
                </c:pt>
                <c:pt idx="22">
                  <c:v>377.2</c:v>
                </c:pt>
                <c:pt idx="23">
                  <c:v>393.59999999999997</c:v>
                </c:pt>
                <c:pt idx="24">
                  <c:v>410</c:v>
                </c:pt>
                <c:pt idx="25">
                  <c:v>426.4</c:v>
                </c:pt>
                <c:pt idx="26">
                  <c:v>442.79999999999995</c:v>
                </c:pt>
                <c:pt idx="27">
                  <c:v>459.2</c:v>
                </c:pt>
                <c:pt idx="28">
                  <c:v>475.59999999999997</c:v>
                </c:pt>
                <c:pt idx="29">
                  <c:v>491.99999999999994</c:v>
                </c:pt>
              </c:numCache>
            </c:numRef>
          </c:xVal>
          <c:yVal>
            <c:numRef>
              <c:f>'Part 1'!$O$6:$O$35</c:f>
              <c:numCache>
                <c:formatCode>General</c:formatCode>
                <c:ptCount val="30"/>
                <c:pt idx="0">
                  <c:v>41.534656982618728</c:v>
                </c:pt>
                <c:pt idx="1">
                  <c:v>32.566941719769794</c:v>
                </c:pt>
                <c:pt idx="2">
                  <c:v>23.872332159994919</c:v>
                </c:pt>
                <c:pt idx="3">
                  <c:v>17.31264337804889</c:v>
                </c:pt>
                <c:pt idx="4">
                  <c:v>12.747846177727649</c:v>
                </c:pt>
                <c:pt idx="5">
                  <c:v>9.6111876863569154</c:v>
                </c:pt>
                <c:pt idx="6">
                  <c:v>7.4264685280291598</c:v>
                </c:pt>
                <c:pt idx="7">
                  <c:v>5.8704046065949687</c:v>
                </c:pt>
                <c:pt idx="8">
                  <c:v>4.7350703825750804</c:v>
                </c:pt>
                <c:pt idx="9">
                  <c:v>3.8873424604842124</c:v>
                </c:pt>
                <c:pt idx="10">
                  <c:v>3.2408153682460665</c:v>
                </c:pt>
                <c:pt idx="11">
                  <c:v>2.7382574060858778</c:v>
                </c:pt>
                <c:pt idx="12">
                  <c:v>2.3409145076627498</c:v>
                </c:pt>
                <c:pt idx="13">
                  <c:v>2.0219665692066333</c:v>
                </c:pt>
                <c:pt idx="14">
                  <c:v>1.7624654789735454</c:v>
                </c:pt>
                <c:pt idx="15">
                  <c:v>1.5487655623977308</c:v>
                </c:pt>
                <c:pt idx="16">
                  <c:v>1.370864936117828</c:v>
                </c:pt>
                <c:pt idx="17">
                  <c:v>1.2213131215087598</c:v>
                </c:pt>
                <c:pt idx="18">
                  <c:v>1.094477562596786</c:v>
                </c:pt>
                <c:pt idx="19">
                  <c:v>0.98604205646739163</c:v>
                </c:pt>
                <c:pt idx="20">
                  <c:v>0.89265785721939139</c:v>
                </c:pt>
                <c:pt idx="21">
                  <c:v>0.8116970846585102</c:v>
                </c:pt>
                <c:pt idx="22">
                  <c:v>0.7410758396220648</c:v>
                </c:pt>
                <c:pt idx="23">
                  <c:v>0.67912556362298948</c:v>
                </c:pt>
                <c:pt idx="24">
                  <c:v>0.62449828074545644</c:v>
                </c:pt>
                <c:pt idx="25">
                  <c:v>0.57609596275810759</c:v>
                </c:pt>
                <c:pt idx="26">
                  <c:v>0.53301729005077525</c:v>
                </c:pt>
                <c:pt idx="27">
                  <c:v>0.49451710777546815</c:v>
                </c:pt>
                <c:pt idx="28">
                  <c:v>0.45997525081716178</c:v>
                </c:pt>
                <c:pt idx="29">
                  <c:v>0.42887235550361064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DC-44FA-8DC8-69F0851B5C31}"/>
            </c:ext>
          </c:extLst>
        </c:ser>
        <c:ser>
          <c:idx val="1"/>
          <c:order val="1"/>
          <c:tx>
            <c:v>PHAST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'Part 1'!$Q$6:$Q$55</c:f>
              <c:numCache>
                <c:formatCode>General</c:formatCode>
                <c:ptCount val="50"/>
                <c:pt idx="0">
                  <c:v>0</c:v>
                </c:pt>
                <c:pt idx="1">
                  <c:v>8.6336872858947409</c:v>
                </c:pt>
                <c:pt idx="2">
                  <c:v>17.2673745717894</c:v>
                </c:pt>
                <c:pt idx="3">
                  <c:v>25.901061857684201</c:v>
                </c:pt>
                <c:pt idx="4">
                  <c:v>34.5347491435789</c:v>
                </c:pt>
                <c:pt idx="5">
                  <c:v>43.168436429473701</c:v>
                </c:pt>
                <c:pt idx="6">
                  <c:v>51.802123715368403</c:v>
                </c:pt>
                <c:pt idx="7">
                  <c:v>60.435811001263197</c:v>
                </c:pt>
                <c:pt idx="8">
                  <c:v>69.069498287157899</c:v>
                </c:pt>
                <c:pt idx="9">
                  <c:v>77.703185573052593</c:v>
                </c:pt>
                <c:pt idx="10">
                  <c:v>86.336872858947402</c:v>
                </c:pt>
                <c:pt idx="11">
                  <c:v>94.970560144842096</c:v>
                </c:pt>
                <c:pt idx="12">
                  <c:v>103.604247430736</c:v>
                </c:pt>
                <c:pt idx="13">
                  <c:v>112.237934716631</c:v>
                </c:pt>
                <c:pt idx="14">
                  <c:v>120.871622002526</c:v>
                </c:pt>
                <c:pt idx="15">
                  <c:v>129.50530928842099</c:v>
                </c:pt>
                <c:pt idx="16">
                  <c:v>138.138996574315</c:v>
                </c:pt>
                <c:pt idx="17">
                  <c:v>146.77268386021001</c:v>
                </c:pt>
                <c:pt idx="18">
                  <c:v>155.40637114610499</c:v>
                </c:pt>
                <c:pt idx="19">
                  <c:v>164.040058432</c:v>
                </c:pt>
                <c:pt idx="20">
                  <c:v>172.67374571789401</c:v>
                </c:pt>
                <c:pt idx="21">
                  <c:v>181.30743300378899</c:v>
                </c:pt>
                <c:pt idx="22">
                  <c:v>189.94112028968399</c:v>
                </c:pt>
                <c:pt idx="23">
                  <c:v>198.574807575579</c:v>
                </c:pt>
                <c:pt idx="24">
                  <c:v>207.20849486147301</c:v>
                </c:pt>
                <c:pt idx="25">
                  <c:v>215.84218214736799</c:v>
                </c:pt>
                <c:pt idx="26">
                  <c:v>224.475869433263</c:v>
                </c:pt>
                <c:pt idx="27">
                  <c:v>233.10955671915801</c:v>
                </c:pt>
                <c:pt idx="28">
                  <c:v>241.74324400505199</c:v>
                </c:pt>
                <c:pt idx="29">
                  <c:v>250.376931290947</c:v>
                </c:pt>
                <c:pt idx="30">
                  <c:v>259.01061857684198</c:v>
                </c:pt>
                <c:pt idx="31">
                  <c:v>267.64430586273699</c:v>
                </c:pt>
                <c:pt idx="32">
                  <c:v>276.27799314863103</c:v>
                </c:pt>
                <c:pt idx="33">
                  <c:v>284.91168043452598</c:v>
                </c:pt>
                <c:pt idx="34">
                  <c:v>293.54536772042098</c:v>
                </c:pt>
                <c:pt idx="35">
                  <c:v>302.17905500631599</c:v>
                </c:pt>
                <c:pt idx="36">
                  <c:v>310.81274229220998</c:v>
                </c:pt>
                <c:pt idx="37">
                  <c:v>319.44642957810498</c:v>
                </c:pt>
                <c:pt idx="38">
                  <c:v>328.08011686399999</c:v>
                </c:pt>
                <c:pt idx="39">
                  <c:v>336.71380414989397</c:v>
                </c:pt>
                <c:pt idx="40">
                  <c:v>345.34749143578898</c:v>
                </c:pt>
                <c:pt idx="41">
                  <c:v>353.98117872168399</c:v>
                </c:pt>
                <c:pt idx="42">
                  <c:v>362.614866007579</c:v>
                </c:pt>
                <c:pt idx="43">
                  <c:v>371.248553293474</c:v>
                </c:pt>
                <c:pt idx="44">
                  <c:v>379.88224057936799</c:v>
                </c:pt>
                <c:pt idx="45">
                  <c:v>388.515927865263</c:v>
                </c:pt>
                <c:pt idx="46">
                  <c:v>397.149615151158</c:v>
                </c:pt>
                <c:pt idx="47">
                  <c:v>405.78330243705199</c:v>
                </c:pt>
                <c:pt idx="48">
                  <c:v>414.41698972294699</c:v>
                </c:pt>
                <c:pt idx="49">
                  <c:v>423.050677008842</c:v>
                </c:pt>
              </c:numCache>
            </c:numRef>
          </c:xVal>
          <c:yVal>
            <c:numRef>
              <c:f>'Part 1'!$R$6:$R$55</c:f>
              <c:numCache>
                <c:formatCode>General</c:formatCode>
                <c:ptCount val="50"/>
                <c:pt idx="0">
                  <c:v>3.4585039603902499</c:v>
                </c:pt>
                <c:pt idx="1">
                  <c:v>5.1460422008064297</c:v>
                </c:pt>
                <c:pt idx="2">
                  <c:v>6.3444262509565101</c:v>
                </c:pt>
                <c:pt idx="3">
                  <c:v>6.8808753251930499</c:v>
                </c:pt>
                <c:pt idx="4">
                  <c:v>6.94746965263134</c:v>
                </c:pt>
                <c:pt idx="5">
                  <c:v>6.7081838276471997</c:v>
                </c:pt>
                <c:pt idx="6">
                  <c:v>6.46891779199143</c:v>
                </c:pt>
                <c:pt idx="7">
                  <c:v>6.1250148472955601</c:v>
                </c:pt>
                <c:pt idx="8">
                  <c:v>5.7701901524041004</c:v>
                </c:pt>
                <c:pt idx="9">
                  <c:v>5.4213458078382804</c:v>
                </c:pt>
                <c:pt idx="10">
                  <c:v>5.08609523934311</c:v>
                </c:pt>
                <c:pt idx="11">
                  <c:v>4.7675614838502902</c:v>
                </c:pt>
                <c:pt idx="12">
                  <c:v>4.4667657767188196</c:v>
                </c:pt>
                <c:pt idx="13">
                  <c:v>4.1837690758998196</c:v>
                </c:pt>
                <c:pt idx="14">
                  <c:v>3.9202715057767001</c:v>
                </c:pt>
                <c:pt idx="15">
                  <c:v>3.6714400520734398</c:v>
                </c:pt>
                <c:pt idx="16">
                  <c:v>3.4386897068882001</c:v>
                </c:pt>
                <c:pt idx="17">
                  <c:v>3.2213783145211998</c:v>
                </c:pt>
                <c:pt idx="18">
                  <c:v>3.0187807609309201</c:v>
                </c:pt>
                <c:pt idx="19">
                  <c:v>2.8301295274732001</c:v>
                </c:pt>
                <c:pt idx="20">
                  <c:v>2.6546354567979602</c:v>
                </c:pt>
                <c:pt idx="21">
                  <c:v>2.4915058752213701</c:v>
                </c:pt>
                <c:pt idx="22">
                  <c:v>2.3402523182729</c:v>
                </c:pt>
                <c:pt idx="23">
                  <c:v>2.2056098761331402</c:v>
                </c:pt>
                <c:pt idx="24">
                  <c:v>2.0793938354699102</c:v>
                </c:pt>
                <c:pt idx="25">
                  <c:v>1.9612593466294601</c:v>
                </c:pt>
                <c:pt idx="26">
                  <c:v>1.8508149362598201</c:v>
                </c:pt>
                <c:pt idx="27">
                  <c:v>1.74764280437843</c:v>
                </c:pt>
                <c:pt idx="28">
                  <c:v>1.6513140856708799</c:v>
                </c:pt>
                <c:pt idx="29">
                  <c:v>1.5614001152761501</c:v>
                </c:pt>
                <c:pt idx="30">
                  <c:v>1.4774805502033701</c:v>
                </c:pt>
                <c:pt idx="31">
                  <c:v>1.3991490400669599</c:v>
                </c:pt>
                <c:pt idx="32">
                  <c:v>1.3260170084903999</c:v>
                </c:pt>
                <c:pt idx="33">
                  <c:v>1.2577159955555</c:v>
                </c:pt>
                <c:pt idx="34">
                  <c:v>1.1938989193518801</c:v>
                </c:pt>
                <c:pt idx="35">
                  <c:v>1.1342405386534899</c:v>
                </c:pt>
                <c:pt idx="36">
                  <c:v>1.0784373368026201</c:v>
                </c:pt>
                <c:pt idx="37">
                  <c:v>1.02620696669365</c:v>
                </c:pt>
                <c:pt idx="38">
                  <c:v>0.97728757314731496</c:v>
                </c:pt>
                <c:pt idx="39">
                  <c:v>0.93143661362846297</c:v>
                </c:pt>
                <c:pt idx="40">
                  <c:v>0.88842990587269599</c:v>
                </c:pt>
                <c:pt idx="41">
                  <c:v>0.84806045148870202</c:v>
                </c:pt>
                <c:pt idx="42">
                  <c:v>0.81013728351776504</c:v>
                </c:pt>
                <c:pt idx="43">
                  <c:v>0.77448433020489005</c:v>
                </c:pt>
                <c:pt idx="44">
                  <c:v>0.74093931439044802</c:v>
                </c:pt>
                <c:pt idx="45">
                  <c:v>0.70935270135954898</c:v>
                </c:pt>
                <c:pt idx="46">
                  <c:v>0.67958670307956304</c:v>
                </c:pt>
                <c:pt idx="47">
                  <c:v>0.65151434313526302</c:v>
                </c:pt>
                <c:pt idx="48">
                  <c:v>0.62501858403731103</c:v>
                </c:pt>
                <c:pt idx="49">
                  <c:v>0.59999151669927897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DC-44FA-8DC8-69F0851B5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218320"/>
        <c:axId val="195603712"/>
      </c:scatterChart>
      <c:valAx>
        <c:axId val="51421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03712"/>
        <c:crosses val="autoZero"/>
        <c:crossBetween val="midCat"/>
      </c:valAx>
      <c:valAx>
        <c:axId val="19560371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218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447674</xdr:colOff>
      <xdr:row>12</xdr:row>
      <xdr:rowOff>80962</xdr:rowOff>
    </xdr:from>
    <xdr:to>
      <xdr:col>19</xdr:col>
      <xdr:colOff>523874</xdr:colOff>
      <xdr:row>31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24F82A-D55C-A71B-3FBF-CCB88E9D8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26BE-B5D2-4BA2-A55B-13903F86F064}">
  <dimension ref="A1:R55"/>
  <sheetViews>
    <sheetView workbookViewId="0">
      <selection activeCell="I24" sqref="I24"/>
    </sheetView>
  </sheetViews>
  <sheetFormatPr defaultRowHeight="15" x14ac:dyDescent="0.25"/>
  <cols>
    <col min="14" max="14" width="13.85546875" bestFit="1" customWidth="1"/>
  </cols>
  <sheetData>
    <row r="1" spans="1:18" x14ac:dyDescent="0.25">
      <c r="A1" t="s">
        <v>56</v>
      </c>
    </row>
    <row r="2" spans="1:18" x14ac:dyDescent="0.25">
      <c r="A2" t="s">
        <v>57</v>
      </c>
    </row>
    <row r="4" spans="1:18" ht="15.75" thickBot="1" x14ac:dyDescent="0.3">
      <c r="A4" s="1" t="s">
        <v>0</v>
      </c>
      <c r="B4" s="1"/>
      <c r="C4" s="1"/>
      <c r="D4" s="1"/>
      <c r="E4" s="1"/>
      <c r="F4" s="1"/>
      <c r="J4" s="6" t="s">
        <v>43</v>
      </c>
      <c r="K4" s="6"/>
      <c r="L4" t="s">
        <v>38</v>
      </c>
      <c r="M4" t="s">
        <v>39</v>
      </c>
      <c r="N4" t="s">
        <v>41</v>
      </c>
      <c r="O4" t="s">
        <v>42</v>
      </c>
      <c r="Q4" t="s">
        <v>44</v>
      </c>
    </row>
    <row r="5" spans="1:18" ht="15.75" thickTop="1" x14ac:dyDescent="0.25">
      <c r="A5" s="11" t="s">
        <v>58</v>
      </c>
      <c r="B5" s="10"/>
      <c r="C5" s="10"/>
      <c r="D5" s="10"/>
      <c r="E5" t="s">
        <v>35</v>
      </c>
      <c r="F5" s="10"/>
      <c r="J5" t="s">
        <v>2</v>
      </c>
      <c r="K5" t="s">
        <v>37</v>
      </c>
      <c r="L5" t="s">
        <v>2</v>
      </c>
      <c r="M5" t="s">
        <v>40</v>
      </c>
      <c r="N5" t="s">
        <v>40</v>
      </c>
      <c r="O5" t="s">
        <v>33</v>
      </c>
      <c r="Q5" t="s">
        <v>37</v>
      </c>
      <c r="R5" t="s">
        <v>33</v>
      </c>
    </row>
    <row r="6" spans="1:18" x14ac:dyDescent="0.25">
      <c r="A6" s="11" t="s">
        <v>59</v>
      </c>
      <c r="B6" s="10"/>
      <c r="C6" s="10"/>
      <c r="D6" s="10"/>
      <c r="E6" t="s">
        <v>36</v>
      </c>
      <c r="F6" s="10"/>
      <c r="J6">
        <v>5</v>
      </c>
      <c r="K6">
        <f>J6*3.28</f>
        <v>16.399999999999999</v>
      </c>
      <c r="L6" s="4">
        <f>SQRT($J6^2+$E$29^2)</f>
        <v>16.916816167462827</v>
      </c>
      <c r="M6">
        <f>1/(4*PI()*$L6^2)</f>
        <v>2.7806919277471864E-4</v>
      </c>
      <c r="N6" s="2">
        <f>2.02*($E$30*L6)^(-0.09)</f>
        <v>0.78302087544957844</v>
      </c>
      <c r="O6">
        <f>N6*$E$22*$E$26*$E$14*M6</f>
        <v>41.534656982618728</v>
      </c>
      <c r="Q6">
        <v>0</v>
      </c>
      <c r="R6">
        <v>3.4585039603902499</v>
      </c>
    </row>
    <row r="7" spans="1:18" x14ac:dyDescent="0.25">
      <c r="A7" t="s">
        <v>1</v>
      </c>
      <c r="E7">
        <v>5</v>
      </c>
      <c r="F7" t="s">
        <v>2</v>
      </c>
      <c r="J7">
        <v>10</v>
      </c>
      <c r="K7">
        <f t="shared" ref="K7:K35" si="0">J7*3.28</f>
        <v>32.799999999999997</v>
      </c>
      <c r="L7" s="4">
        <f>SQRT($J7^2+$E$29^2)</f>
        <v>19.004701240580754</v>
      </c>
      <c r="M7">
        <f t="shared" ref="M7:M35" si="1">1/(4*PI()*$L7^2)</f>
        <v>2.2032716304253E-4</v>
      </c>
      <c r="N7" s="2">
        <f>2.02*($E$30*L7)^(-0.09)</f>
        <v>0.77486228523219058</v>
      </c>
      <c r="O7">
        <f>N7*$E$22*$E$26*$E$14*M7</f>
        <v>32.566941719769794</v>
      </c>
      <c r="Q7">
        <v>8.6336872858947409</v>
      </c>
      <c r="R7">
        <v>5.1460422008064297</v>
      </c>
    </row>
    <row r="8" spans="1:18" x14ac:dyDescent="0.25">
      <c r="A8" t="s">
        <v>3</v>
      </c>
      <c r="E8">
        <f>25.4*4</f>
        <v>101.6</v>
      </c>
      <c r="F8" t="s">
        <v>4</v>
      </c>
      <c r="J8">
        <v>15</v>
      </c>
      <c r="K8">
        <f t="shared" si="0"/>
        <v>49.199999999999996</v>
      </c>
      <c r="L8" s="4">
        <f>SQRT($J8^2+$E$29^2)</f>
        <v>22.04945961341755</v>
      </c>
      <c r="M8">
        <f t="shared" si="1"/>
        <v>1.6367947954140663E-4</v>
      </c>
      <c r="N8" s="2">
        <f>2.02*($E$30*L8)^(-0.09)</f>
        <v>0.7645681487635404</v>
      </c>
      <c r="O8">
        <f>N8*$E$22*$E$26*$E$14*M8</f>
        <v>23.872332159994919</v>
      </c>
      <c r="Q8">
        <v>17.2673745717894</v>
      </c>
      <c r="R8">
        <v>6.3444262509565101</v>
      </c>
    </row>
    <row r="9" spans="1:18" x14ac:dyDescent="0.25">
      <c r="A9" t="s">
        <v>5</v>
      </c>
      <c r="E9">
        <v>1</v>
      </c>
      <c r="F9" t="s">
        <v>2</v>
      </c>
      <c r="J9">
        <v>20</v>
      </c>
      <c r="K9">
        <f t="shared" si="0"/>
        <v>65.599999999999994</v>
      </c>
      <c r="L9" s="4">
        <f>SQRT($J9^2+$E$29^2)</f>
        <v>25.713394743668751</v>
      </c>
      <c r="M9">
        <f t="shared" si="1"/>
        <v>1.2035698555878978E-4</v>
      </c>
      <c r="N9" s="2">
        <f>2.02*($E$30*L9)^(-0.09)</f>
        <v>0.75406306627118935</v>
      </c>
      <c r="O9">
        <f>N9*$E$22*$E$26*$E$14*M9</f>
        <v>17.31264337804889</v>
      </c>
      <c r="Q9">
        <v>25.901061857684201</v>
      </c>
      <c r="R9">
        <v>6.8808753251930499</v>
      </c>
    </row>
    <row r="10" spans="1:18" x14ac:dyDescent="0.25">
      <c r="A10" t="s">
        <v>6</v>
      </c>
      <c r="E10">
        <v>10.3</v>
      </c>
      <c r="F10" t="s">
        <v>7</v>
      </c>
      <c r="J10">
        <v>25</v>
      </c>
      <c r="K10">
        <f t="shared" si="0"/>
        <v>82</v>
      </c>
      <c r="L10" s="4">
        <f>SQRT($J10^2+$E$29^2)</f>
        <v>29.768753236300167</v>
      </c>
      <c r="M10">
        <f t="shared" si="1"/>
        <v>8.9798450705047322E-5</v>
      </c>
      <c r="N10" s="2">
        <f>2.02*($E$30*L10)^(-0.09)</f>
        <v>0.74418953594858572</v>
      </c>
      <c r="O10">
        <f>N10*$E$22*$E$26*$E$14*M10</f>
        <v>12.747846177727649</v>
      </c>
      <c r="Q10">
        <v>34.5347491435789</v>
      </c>
      <c r="R10">
        <v>6.94746965263134</v>
      </c>
    </row>
    <row r="11" spans="1:18" x14ac:dyDescent="0.25">
      <c r="A11" t="s">
        <v>8</v>
      </c>
      <c r="E11">
        <v>298</v>
      </c>
      <c r="F11" t="s">
        <v>9</v>
      </c>
      <c r="J11">
        <v>30</v>
      </c>
      <c r="K11">
        <f t="shared" si="0"/>
        <v>98.399999999999991</v>
      </c>
      <c r="L11" s="4">
        <f>SQRT($J11^2+$E$29^2)</f>
        <v>34.076071798899179</v>
      </c>
      <c r="M11">
        <f t="shared" si="1"/>
        <v>6.8531633979959308E-5</v>
      </c>
      <c r="N11" s="2">
        <f>2.02*($E$30*L11)^(-0.09)</f>
        <v>0.73519333297491063</v>
      </c>
      <c r="O11">
        <f>N11*$E$22*$E$26*$E$14*M11</f>
        <v>9.6111876863569154</v>
      </c>
      <c r="Q11">
        <v>43.168436429473701</v>
      </c>
      <c r="R11">
        <v>6.7081838276471997</v>
      </c>
    </row>
    <row r="12" spans="1:18" x14ac:dyDescent="0.25">
      <c r="A12" t="s">
        <v>10</v>
      </c>
      <c r="E12">
        <v>70</v>
      </c>
      <c r="F12" t="s">
        <v>11</v>
      </c>
      <c r="J12">
        <v>35</v>
      </c>
      <c r="K12">
        <f t="shared" si="0"/>
        <v>114.8</v>
      </c>
      <c r="L12" s="4">
        <f>SQRT($J12^2+$E$29^2)</f>
        <v>38.550987915275684</v>
      </c>
      <c r="M12">
        <f t="shared" si="1"/>
        <v>5.3545023349340673E-5</v>
      </c>
      <c r="N12" s="2">
        <f>2.02*($E$30*L12)^(-0.09)</f>
        <v>0.72707434578286656</v>
      </c>
      <c r="O12">
        <f>N12*$E$22*$E$26*$E$14*M12</f>
        <v>7.4264685280291598</v>
      </c>
      <c r="Q12">
        <v>51.802123715368403</v>
      </c>
      <c r="R12">
        <v>6.46891779199143</v>
      </c>
    </row>
    <row r="13" spans="1:18" x14ac:dyDescent="0.25">
      <c r="A13" t="s">
        <v>12</v>
      </c>
      <c r="E13">
        <v>1.1299999999999999</v>
      </c>
      <c r="G13" t="s">
        <v>60</v>
      </c>
      <c r="J13">
        <v>40</v>
      </c>
      <c r="K13">
        <f t="shared" si="0"/>
        <v>131.19999999999999</v>
      </c>
      <c r="L13" s="4">
        <f>SQRT($J13^2+$E$29^2)</f>
        <v>43.141380010886671</v>
      </c>
      <c r="M13">
        <f t="shared" si="1"/>
        <v>4.2756492356686551E-5</v>
      </c>
      <c r="N13" s="2">
        <f>2.02*($E$30*L13)^(-0.09)</f>
        <v>0.71974980231314978</v>
      </c>
      <c r="O13">
        <f>N13*$E$22*$E$26*$E$14*M13</f>
        <v>5.8704046065949687</v>
      </c>
      <c r="Q13">
        <v>60.435811001263197</v>
      </c>
      <c r="R13">
        <v>6.1250148472955601</v>
      </c>
    </row>
    <row r="14" spans="1:18" x14ac:dyDescent="0.25">
      <c r="A14" t="s">
        <v>13</v>
      </c>
      <c r="E14">
        <v>50000</v>
      </c>
      <c r="F14" t="s">
        <v>14</v>
      </c>
      <c r="G14" t="s">
        <v>60</v>
      </c>
      <c r="J14">
        <v>45</v>
      </c>
      <c r="K14">
        <f t="shared" si="0"/>
        <v>147.6</v>
      </c>
      <c r="L14" s="4">
        <f>SQRT($J14^2+$E$29^2)</f>
        <v>47.814000765923488</v>
      </c>
      <c r="M14">
        <f t="shared" si="1"/>
        <v>3.480807192216167E-5</v>
      </c>
      <c r="N14" s="2">
        <f>2.02*($E$30*L14)^(-0.09)</f>
        <v>0.71311908529989354</v>
      </c>
      <c r="O14">
        <f>N14*$E$22*$E$26*$E$14*M14</f>
        <v>4.7350703825750804</v>
      </c>
      <c r="Q14">
        <v>69.069498287157899</v>
      </c>
      <c r="R14">
        <v>5.7701901524041004</v>
      </c>
    </row>
    <row r="15" spans="1:18" x14ac:dyDescent="0.25">
      <c r="A15" t="s">
        <v>15</v>
      </c>
      <c r="E15">
        <v>44</v>
      </c>
      <c r="G15" t="s">
        <v>60</v>
      </c>
      <c r="J15">
        <v>50</v>
      </c>
      <c r="K15">
        <f t="shared" si="0"/>
        <v>164</v>
      </c>
      <c r="L15" s="4">
        <f>SQRT($J15^2+$E$29^2)</f>
        <v>52.546918741670588</v>
      </c>
      <c r="M15">
        <f t="shared" si="1"/>
        <v>2.8820109481630686E-5</v>
      </c>
      <c r="N15" s="2">
        <f>2.02*($E$30*L15)^(-0.09)</f>
        <v>0.70708685613040567</v>
      </c>
      <c r="O15">
        <f>N15*$E$22*$E$26*$E$14*M15</f>
        <v>3.8873424604842124</v>
      </c>
      <c r="Q15">
        <v>77.703185573052593</v>
      </c>
      <c r="R15">
        <v>5.4213458078382804</v>
      </c>
    </row>
    <row r="16" spans="1:18" x14ac:dyDescent="0.25">
      <c r="A16" t="s">
        <v>16</v>
      </c>
      <c r="E16">
        <v>2200</v>
      </c>
      <c r="F16" t="s">
        <v>9</v>
      </c>
      <c r="J16">
        <v>55</v>
      </c>
      <c r="K16">
        <f t="shared" si="0"/>
        <v>180.39999999999998</v>
      </c>
      <c r="L16" s="4">
        <f>SQRT($J16^2+$E$29^2)</f>
        <v>57.325200996104073</v>
      </c>
      <c r="M16">
        <f t="shared" si="1"/>
        <v>2.4215807950655748E-5</v>
      </c>
      <c r="N16" s="2">
        <f>2.02*($E$30*L16)^(-0.09)</f>
        <v>0.70156984608079898</v>
      </c>
      <c r="O16">
        <f>N16*$E$22*$E$26*$E$14*M16</f>
        <v>3.2408153682460665</v>
      </c>
      <c r="Q16">
        <v>86.336872858947402</v>
      </c>
      <c r="R16">
        <v>5.08609523934311</v>
      </c>
    </row>
    <row r="17" spans="1:18" x14ac:dyDescent="0.25">
      <c r="A17" t="s">
        <v>17</v>
      </c>
      <c r="E17">
        <v>0.85</v>
      </c>
      <c r="J17">
        <v>60</v>
      </c>
      <c r="K17">
        <f t="shared" si="0"/>
        <v>196.79999999999998</v>
      </c>
      <c r="L17" s="4">
        <f>SQRT($J17^2+$E$29^2)</f>
        <v>62.138383220387475</v>
      </c>
      <c r="M17">
        <f t="shared" si="1"/>
        <v>2.0609632022424409E-5</v>
      </c>
      <c r="N17" s="2">
        <f>2.02*($E$30*L17)^(-0.09)</f>
        <v>0.69649759610257533</v>
      </c>
      <c r="O17">
        <f>N17*$E$22*$E$26*$E$14*M17</f>
        <v>2.7382574060858778</v>
      </c>
      <c r="Q17">
        <v>94.970560144842096</v>
      </c>
      <c r="R17">
        <v>4.7675614838502902</v>
      </c>
    </row>
    <row r="18" spans="1:18" x14ac:dyDescent="0.25">
      <c r="A18" t="s">
        <v>18</v>
      </c>
      <c r="E18">
        <v>101325</v>
      </c>
      <c r="F18" t="s">
        <v>19</v>
      </c>
      <c r="J18">
        <v>65</v>
      </c>
      <c r="K18">
        <f t="shared" si="0"/>
        <v>213.2</v>
      </c>
      <c r="L18" s="4">
        <f>SQRT($J18^2+$E$29^2)</f>
        <v>66.978941983609531</v>
      </c>
      <c r="M18">
        <f t="shared" si="1"/>
        <v>1.7738364299111306E-5</v>
      </c>
      <c r="N18" s="2">
        <f>2.02*($E$30*L18)^(-0.09)</f>
        <v>0.6918111730609201</v>
      </c>
      <c r="O18">
        <f>N18*$E$22*$E$26*$E$14*M18</f>
        <v>2.3409145076627498</v>
      </c>
      <c r="Q18">
        <v>103.604247430736</v>
      </c>
      <c r="R18">
        <v>4.4667657767188196</v>
      </c>
    </row>
    <row r="19" spans="1:18" x14ac:dyDescent="0.25">
      <c r="A19" t="s">
        <v>20</v>
      </c>
      <c r="E19">
        <f>1/(1+5+18.8)</f>
        <v>4.0322580645161289E-2</v>
      </c>
      <c r="G19" t="s">
        <v>60</v>
      </c>
      <c r="J19">
        <v>70</v>
      </c>
      <c r="K19">
        <f t="shared" si="0"/>
        <v>229.6</v>
      </c>
      <c r="L19" s="4">
        <f>SQRT($J19^2+$E$29^2)</f>
        <v>71.84134373216952</v>
      </c>
      <c r="M19">
        <f t="shared" si="1"/>
        <v>1.5418468657200769E-5</v>
      </c>
      <c r="N19" s="2">
        <f>2.02*($E$30*L19)^(-0.09)</f>
        <v>0.68746139823582419</v>
      </c>
      <c r="O19">
        <f>N19*$E$22*$E$26*$E$14*M19</f>
        <v>2.0219665692066333</v>
      </c>
      <c r="Q19">
        <v>112.237934716631</v>
      </c>
      <c r="R19">
        <v>4.1837690758998196</v>
      </c>
    </row>
    <row r="20" spans="1:18" x14ac:dyDescent="0.25">
      <c r="A20" t="s">
        <v>21</v>
      </c>
      <c r="E20">
        <f>(1+5+18.8)/(3+4+18.8)</f>
        <v>0.96124031007751942</v>
      </c>
      <c r="G20" t="s">
        <v>60</v>
      </c>
      <c r="J20">
        <v>75</v>
      </c>
      <c r="K20">
        <f t="shared" si="0"/>
        <v>245.99999999999997</v>
      </c>
      <c r="L20" s="4">
        <f>SQRT($J20^2+$E$29^2)</f>
        <v>76.721435526479382</v>
      </c>
      <c r="M20">
        <f t="shared" si="1"/>
        <v>1.3519377514269701E-5</v>
      </c>
      <c r="N20" s="2">
        <f>2.02*($E$30*L20)^(-0.09)</f>
        <v>0.68340714092805488</v>
      </c>
      <c r="O20">
        <f>N20*$E$22*$E$26*$E$14*M20</f>
        <v>1.7624654789735454</v>
      </c>
      <c r="Q20">
        <v>120.871622002526</v>
      </c>
      <c r="R20">
        <v>3.9202715057767001</v>
      </c>
    </row>
    <row r="21" spans="1:18" x14ac:dyDescent="0.25">
      <c r="A21" t="s">
        <v>22</v>
      </c>
      <c r="E21">
        <v>29</v>
      </c>
      <c r="J21">
        <v>80</v>
      </c>
      <c r="K21">
        <f t="shared" si="0"/>
        <v>262.39999999999998</v>
      </c>
      <c r="L21" s="4">
        <f>SQRT($J21^2+$E$29^2)</f>
        <v>81.616044190120675</v>
      </c>
      <c r="M21">
        <f t="shared" si="1"/>
        <v>1.1946455049070528E-5</v>
      </c>
      <c r="N21" s="2">
        <f>2.02*($E$30*L21)^(-0.09)</f>
        <v>0.67961384635223565</v>
      </c>
      <c r="O21">
        <f>N21*$E$22*$E$26*$E$14*M21</f>
        <v>1.5487655623977308</v>
      </c>
      <c r="Q21">
        <v>129.50530928842099</v>
      </c>
      <c r="R21">
        <v>3.6714400520734398</v>
      </c>
    </row>
    <row r="22" spans="1:18" x14ac:dyDescent="0.25">
      <c r="A22" t="s">
        <v>23</v>
      </c>
      <c r="E22">
        <f>0.3*0.67</f>
        <v>0.20100000000000001</v>
      </c>
      <c r="G22" t="s">
        <v>60</v>
      </c>
      <c r="J22">
        <v>85</v>
      </c>
      <c r="K22">
        <f t="shared" si="0"/>
        <v>278.8</v>
      </c>
      <c r="L22" s="4">
        <f>SQRT($J22^2+$E$29^2)</f>
        <v>86.522706090619536</v>
      </c>
      <c r="M22">
        <f t="shared" si="1"/>
        <v>1.0629918822654382E-5</v>
      </c>
      <c r="N22" s="2">
        <f>2.02*($E$30*L22)^(-0.09)</f>
        <v>0.67605232203321108</v>
      </c>
      <c r="O22">
        <f>N22*$E$22*$E$26*$E$14*M22</f>
        <v>1.370864936117828</v>
      </c>
      <c r="Q22">
        <v>138.138996574315</v>
      </c>
      <c r="R22">
        <v>3.4386897068882001</v>
      </c>
    </row>
    <row r="23" spans="1:18" x14ac:dyDescent="0.25">
      <c r="J23">
        <v>90</v>
      </c>
      <c r="K23">
        <f t="shared" si="0"/>
        <v>295.2</v>
      </c>
      <c r="L23" s="4">
        <f>SQRT($J23^2+$E$29^2)</f>
        <v>91.439480910839222</v>
      </c>
      <c r="M23">
        <f t="shared" si="1"/>
        <v>9.517494445929052E-6</v>
      </c>
      <c r="N23" s="2">
        <f>2.02*($E$30*L23)^(-0.09)</f>
        <v>0.67269775696914047</v>
      </c>
      <c r="O23">
        <f>N23*$E$22*$E$26*$E$14*M23</f>
        <v>1.2213131215087598</v>
      </c>
      <c r="Q23">
        <v>146.77268386021001</v>
      </c>
      <c r="R23">
        <v>3.2213783145211998</v>
      </c>
    </row>
    <row r="24" spans="1:18" ht="15.75" thickBot="1" x14ac:dyDescent="0.3">
      <c r="A24" s="1" t="s">
        <v>24</v>
      </c>
      <c r="B24" s="1"/>
      <c r="C24" s="1"/>
      <c r="D24" s="1"/>
      <c r="E24" s="1"/>
      <c r="F24" s="1"/>
      <c r="J24">
        <v>95</v>
      </c>
      <c r="K24">
        <f t="shared" si="0"/>
        <v>311.59999999999997</v>
      </c>
      <c r="L24" s="4">
        <f>SQRT($J24^2+$E$29^2)</f>
        <v>96.364820703635047</v>
      </c>
      <c r="M24">
        <f t="shared" si="1"/>
        <v>8.5694529881825432E-6</v>
      </c>
      <c r="N24" s="2">
        <f>2.02*($E$30*L24)^(-0.09)</f>
        <v>0.66952893504450495</v>
      </c>
      <c r="O24">
        <f>N24*$E$22*$E$26*$E$14*M24</f>
        <v>1.094477562596786</v>
      </c>
      <c r="Q24">
        <v>155.40637114610499</v>
      </c>
      <c r="R24">
        <v>3.0187807609309201</v>
      </c>
    </row>
    <row r="25" spans="1:18" ht="15.75" thickTop="1" x14ac:dyDescent="0.25">
      <c r="A25" t="s">
        <v>25</v>
      </c>
      <c r="E25">
        <f>PI()*($E8/1000)^2/4</f>
        <v>8.107319665559963E-3</v>
      </c>
      <c r="F25" t="s">
        <v>26</v>
      </c>
      <c r="J25">
        <v>100</v>
      </c>
      <c r="K25">
        <f t="shared" si="0"/>
        <v>328</v>
      </c>
      <c r="L25" s="4">
        <f>SQRT($J25^2+$E$29^2)</f>
        <v>101.29747612474721</v>
      </c>
      <c r="M25">
        <f t="shared" si="1"/>
        <v>7.755197927161002E-6</v>
      </c>
      <c r="N25" s="2">
        <f>2.02*($E$30*L25)^(-0.09)</f>
        <v>0.6665276051535689</v>
      </c>
      <c r="O25">
        <f>N25*$E$22*$E$26*$E$14*M25</f>
        <v>0.98604205646739163</v>
      </c>
      <c r="Q25">
        <v>164.040058432</v>
      </c>
      <c r="R25">
        <v>2.8301295274732001</v>
      </c>
    </row>
    <row r="26" spans="1:18" x14ac:dyDescent="0.25">
      <c r="A26" t="s">
        <v>27</v>
      </c>
      <c r="E26" s="2">
        <f>$E17*$E25*$E10*100000*SQRT($E13*$E15*(2/($E13+1))^(($E13+1)/($E13-1))/(0.082057*$E11*101325))</f>
        <v>18.980967680777425</v>
      </c>
      <c r="F26" t="s">
        <v>28</v>
      </c>
      <c r="J26">
        <v>105</v>
      </c>
      <c r="K26">
        <f t="shared" si="0"/>
        <v>344.4</v>
      </c>
      <c r="L26" s="4">
        <f>SQRT($J26^2+$E$29^2)</f>
        <v>106.23642816493658</v>
      </c>
      <c r="M26">
        <f t="shared" si="1"/>
        <v>7.0508782359441441E-6</v>
      </c>
      <c r="N26" s="2">
        <f>2.02*($E$30*L26)^(-0.09)</f>
        <v>0.66367797582354848</v>
      </c>
      <c r="O26">
        <f>N26*$E$22*$E$26*$E$14*M26</f>
        <v>0.89265785721939139</v>
      </c>
      <c r="Q26">
        <v>172.67374571789401</v>
      </c>
      <c r="R26">
        <v>2.6546354567979602</v>
      </c>
    </row>
    <row r="27" spans="1:18" x14ac:dyDescent="0.25">
      <c r="A27" t="s">
        <v>29</v>
      </c>
      <c r="E27" s="3">
        <f>(5.3/$E19)*SQRT(($E16/$E11)*($E19+(1-$E19)*($E21/$E15)/$E20))</f>
        <v>298.44533759166239</v>
      </c>
      <c r="J27">
        <v>110</v>
      </c>
      <c r="K27">
        <f t="shared" si="0"/>
        <v>360.79999999999995</v>
      </c>
      <c r="L27" s="4">
        <f>SQRT($J27^2+$E$29^2)</f>
        <v>111.18083768907181</v>
      </c>
      <c r="M27">
        <f t="shared" si="1"/>
        <v>6.4376928507592146E-6</v>
      </c>
      <c r="N27" s="2">
        <f>2.02*($E$30*L27)^(-0.09)</f>
        <v>0.66096630815479407</v>
      </c>
      <c r="O27">
        <f>N27*$E$22*$E$26*$E$14*M27</f>
        <v>0.8116970846585102</v>
      </c>
      <c r="Q27">
        <v>181.30743300378899</v>
      </c>
      <c r="R27">
        <v>2.4915058752213701</v>
      </c>
    </row>
    <row r="28" spans="1:18" x14ac:dyDescent="0.25">
      <c r="A28" t="s">
        <v>30</v>
      </c>
      <c r="E28" s="4">
        <f>$E27*$E8/1000</f>
        <v>30.322046299312898</v>
      </c>
      <c r="F28" t="s">
        <v>2</v>
      </c>
      <c r="J28">
        <v>115</v>
      </c>
      <c r="K28">
        <f t="shared" si="0"/>
        <v>377.2</v>
      </c>
      <c r="L28" s="4">
        <f>SQRT($J28^2+$E$29^2)</f>
        <v>116.13000761751344</v>
      </c>
      <c r="M28">
        <f t="shared" si="1"/>
        <v>5.9006686399187499E-6</v>
      </c>
      <c r="N28" s="2">
        <f>2.02*($E$30*L28)^(-0.09)</f>
        <v>0.65838058633116847</v>
      </c>
      <c r="O28">
        <f>N28*$E$22*$E$26*$E$14*M28</f>
        <v>0.7410758396220648</v>
      </c>
      <c r="Q28">
        <v>189.94112028968399</v>
      </c>
      <c r="R28">
        <v>2.3402523182729</v>
      </c>
    </row>
    <row r="29" spans="1:18" x14ac:dyDescent="0.25">
      <c r="A29" t="s">
        <v>31</v>
      </c>
      <c r="E29" s="4">
        <f>$E9+$E28/2</f>
        <v>16.161023149656451</v>
      </c>
      <c r="F29" t="s">
        <v>2</v>
      </c>
      <c r="J29">
        <v>120</v>
      </c>
      <c r="K29">
        <f t="shared" si="0"/>
        <v>393.59999999999997</v>
      </c>
      <c r="L29" s="4">
        <f>SQRT($J29^2+$E$29^2)</f>
        <v>121.08335422032101</v>
      </c>
      <c r="M29">
        <f t="shared" si="1"/>
        <v>5.4277676673353383E-6</v>
      </c>
      <c r="N29" s="2">
        <f>2.02*($E$30*L29)^(-0.09)</f>
        <v>0.65591024945446608</v>
      </c>
      <c r="O29">
        <f>N29*$E$22*$E$26*$E$14*M29</f>
        <v>0.67912556362298948</v>
      </c>
      <c r="Q29">
        <v>198.574807575579</v>
      </c>
      <c r="R29">
        <v>2.2056098761331402</v>
      </c>
    </row>
    <row r="30" spans="1:18" x14ac:dyDescent="0.25">
      <c r="A30" t="s">
        <v>32</v>
      </c>
      <c r="E30" s="5">
        <f>1013.25*$E$12*EXP(14.4114-5328/$E$11)</f>
        <v>2211.9259303034223</v>
      </c>
      <c r="F30" t="s">
        <v>19</v>
      </c>
      <c r="J30">
        <v>125</v>
      </c>
      <c r="K30">
        <f t="shared" si="0"/>
        <v>410</v>
      </c>
      <c r="L30" s="4">
        <f>SQRT($J30^2+$E$29^2)</f>
        <v>126.04038507257795</v>
      </c>
      <c r="M30">
        <f t="shared" si="1"/>
        <v>5.009226775222716E-6</v>
      </c>
      <c r="N30" s="2">
        <f>2.02*($E$30*L30)^(-0.09)</f>
        <v>0.65354597203858678</v>
      </c>
      <c r="O30">
        <f>N30*$E$22*$E$26*$E$14*M30</f>
        <v>0.62449828074545644</v>
      </c>
      <c r="Q30">
        <v>207.20849486147301</v>
      </c>
      <c r="R30">
        <v>2.0793938354699102</v>
      </c>
    </row>
    <row r="31" spans="1:18" x14ac:dyDescent="0.25">
      <c r="J31">
        <v>130</v>
      </c>
      <c r="K31">
        <f t="shared" si="0"/>
        <v>426.4</v>
      </c>
      <c r="L31" s="4">
        <f>SQRT($J31^2+$E$29^2)</f>
        <v>131.00068194190339</v>
      </c>
      <c r="M31">
        <f t="shared" si="1"/>
        <v>4.6370632856685078E-6</v>
      </c>
      <c r="N31" s="2">
        <f>2.02*($E$30*L31)^(-0.09)</f>
        <v>0.65127948329501395</v>
      </c>
      <c r="O31">
        <f>N31*$E$22*$E$26*$E$14*M31</f>
        <v>0.57609596275810759</v>
      </c>
      <c r="Q31">
        <v>215.84218214736799</v>
      </c>
      <c r="R31">
        <v>1.9612593466294601</v>
      </c>
    </row>
    <row r="32" spans="1:18" x14ac:dyDescent="0.25">
      <c r="J32">
        <v>135</v>
      </c>
      <c r="K32">
        <f t="shared" si="0"/>
        <v>442.79999999999995</v>
      </c>
      <c r="L32" s="4">
        <f>SQRT($J32^2+$E$29^2)</f>
        <v>135.96388737177136</v>
      </c>
      <c r="M32">
        <f t="shared" si="1"/>
        <v>4.3047009860585321E-6</v>
      </c>
      <c r="N32" s="2">
        <f>2.02*($E$30*L32)^(-0.09)</f>
        <v>0.64910341750371148</v>
      </c>
      <c r="O32">
        <f>N32*$E$22*$E$26*$E$14*M32</f>
        <v>0.53301729005077525</v>
      </c>
      <c r="Q32">
        <v>224.475869433263</v>
      </c>
      <c r="R32">
        <v>1.8508149362598201</v>
      </c>
    </row>
    <row r="33" spans="5:18" x14ac:dyDescent="0.25">
      <c r="E33" s="2"/>
      <c r="J33">
        <v>140</v>
      </c>
      <c r="K33">
        <f t="shared" si="0"/>
        <v>459.2</v>
      </c>
      <c r="L33" s="4">
        <f>SQRT($J33^2+$E$29^2)</f>
        <v>140.92969406496181</v>
      </c>
      <c r="M33">
        <f t="shared" si="1"/>
        <v>4.006684239197663E-6</v>
      </c>
      <c r="N33" s="2">
        <f>2.02*($E$30*L33)^(-0.09)</f>
        <v>0.64701118943073443</v>
      </c>
      <c r="O33">
        <f>N33*$E$22*$E$26*$E$14*M33</f>
        <v>0.49451710777546815</v>
      </c>
      <c r="Q33">
        <v>233.10955671915801</v>
      </c>
      <c r="R33">
        <v>1.74764280437843</v>
      </c>
    </row>
    <row r="34" spans="5:18" x14ac:dyDescent="0.25">
      <c r="J34">
        <v>145</v>
      </c>
      <c r="K34">
        <f t="shared" si="0"/>
        <v>475.59999999999997</v>
      </c>
      <c r="L34" s="4">
        <f>SQRT($J34^2+$E$29^2)</f>
        <v>145.89783641042703</v>
      </c>
      <c r="M34">
        <f t="shared" si="1"/>
        <v>3.7384573709760636E-6</v>
      </c>
      <c r="N34" s="2">
        <f>2.02*($E$30*L34)^(-0.09)</f>
        <v>0.64499689003927663</v>
      </c>
      <c r="O34">
        <f>N34*$E$22*$E$26*$E$14*M34</f>
        <v>0.45997525081716178</v>
      </c>
      <c r="Q34">
        <v>241.74324400505199</v>
      </c>
      <c r="R34">
        <v>1.6513140856708799</v>
      </c>
    </row>
    <row r="35" spans="5:18" x14ac:dyDescent="0.25">
      <c r="J35">
        <v>150</v>
      </c>
      <c r="K35">
        <f t="shared" si="0"/>
        <v>491.99999999999994</v>
      </c>
      <c r="L35" s="4">
        <f>SQRT($J35^2+$E$29^2)</f>
        <v>150.86808366663814</v>
      </c>
      <c r="M35">
        <f t="shared" si="1"/>
        <v>3.4961929126050718E-6</v>
      </c>
      <c r="N35" s="2">
        <f>2.02*($E$30*L35)^(-0.09)</f>
        <v>0.64305519873410633</v>
      </c>
      <c r="O35">
        <f>N35*$E$22*$E$26*$E$14*M35</f>
        <v>0.42887235550361064</v>
      </c>
      <c r="Q35">
        <v>250.376931290947</v>
      </c>
      <c r="R35">
        <v>1.5614001152761501</v>
      </c>
    </row>
    <row r="36" spans="5:18" x14ac:dyDescent="0.25">
      <c r="Q36">
        <v>259.01061857684198</v>
      </c>
      <c r="R36">
        <v>1.4774805502033701</v>
      </c>
    </row>
    <row r="37" spans="5:18" x14ac:dyDescent="0.25">
      <c r="Q37">
        <v>267.64430586273699</v>
      </c>
      <c r="R37">
        <v>1.3991490400669599</v>
      </c>
    </row>
    <row r="38" spans="5:18" x14ac:dyDescent="0.25">
      <c r="Q38">
        <v>276.27799314863103</v>
      </c>
      <c r="R38">
        <v>1.3260170084903999</v>
      </c>
    </row>
    <row r="39" spans="5:18" x14ac:dyDescent="0.25">
      <c r="Q39">
        <v>284.91168043452598</v>
      </c>
      <c r="R39">
        <v>1.2577159955555</v>
      </c>
    </row>
    <row r="40" spans="5:18" x14ac:dyDescent="0.25">
      <c r="Q40">
        <v>293.54536772042098</v>
      </c>
      <c r="R40">
        <v>1.1938989193518801</v>
      </c>
    </row>
    <row r="41" spans="5:18" x14ac:dyDescent="0.25">
      <c r="Q41">
        <v>302.17905500631599</v>
      </c>
      <c r="R41">
        <v>1.1342405386534899</v>
      </c>
    </row>
    <row r="42" spans="5:18" x14ac:dyDescent="0.25">
      <c r="Q42">
        <v>310.81274229220998</v>
      </c>
      <c r="R42">
        <v>1.0784373368026201</v>
      </c>
    </row>
    <row r="43" spans="5:18" x14ac:dyDescent="0.25">
      <c r="Q43">
        <v>319.44642957810498</v>
      </c>
      <c r="R43">
        <v>1.02620696669365</v>
      </c>
    </row>
    <row r="44" spans="5:18" x14ac:dyDescent="0.25">
      <c r="Q44">
        <v>328.08011686399999</v>
      </c>
      <c r="R44">
        <v>0.97728757314731496</v>
      </c>
    </row>
    <row r="45" spans="5:18" x14ac:dyDescent="0.25">
      <c r="Q45">
        <v>336.71380414989397</v>
      </c>
      <c r="R45">
        <v>0.93143661362846297</v>
      </c>
    </row>
    <row r="46" spans="5:18" x14ac:dyDescent="0.25">
      <c r="Q46">
        <v>345.34749143578898</v>
      </c>
      <c r="R46">
        <v>0.88842990587269599</v>
      </c>
    </row>
    <row r="47" spans="5:18" x14ac:dyDescent="0.25">
      <c r="Q47">
        <v>353.98117872168399</v>
      </c>
      <c r="R47">
        <v>0.84806045148870202</v>
      </c>
    </row>
    <row r="48" spans="5:18" x14ac:dyDescent="0.25">
      <c r="Q48">
        <v>362.614866007579</v>
      </c>
      <c r="R48">
        <v>0.81013728351776504</v>
      </c>
    </row>
    <row r="49" spans="17:18" x14ac:dyDescent="0.25">
      <c r="Q49">
        <v>371.248553293474</v>
      </c>
      <c r="R49">
        <v>0.77448433020489005</v>
      </c>
    </row>
    <row r="50" spans="17:18" x14ac:dyDescent="0.25">
      <c r="Q50">
        <v>379.88224057936799</v>
      </c>
      <c r="R50">
        <v>0.74093931439044802</v>
      </c>
    </row>
    <row r="51" spans="17:18" x14ac:dyDescent="0.25">
      <c r="Q51">
        <v>388.515927865263</v>
      </c>
      <c r="R51">
        <v>0.70935270135954898</v>
      </c>
    </row>
    <row r="52" spans="17:18" x14ac:dyDescent="0.25">
      <c r="Q52">
        <v>397.149615151158</v>
      </c>
      <c r="R52">
        <v>0.67958670307956304</v>
      </c>
    </row>
    <row r="53" spans="17:18" x14ac:dyDescent="0.25">
      <c r="Q53">
        <v>405.78330243705199</v>
      </c>
      <c r="R53">
        <v>0.65151434313526302</v>
      </c>
    </row>
    <row r="54" spans="17:18" x14ac:dyDescent="0.25">
      <c r="Q54">
        <v>414.41698972294699</v>
      </c>
      <c r="R54">
        <v>0.62501858403731103</v>
      </c>
    </row>
    <row r="55" spans="17:18" x14ac:dyDescent="0.25">
      <c r="Q55">
        <v>423.050677008842</v>
      </c>
      <c r="R55">
        <v>0.59999151669927897</v>
      </c>
    </row>
  </sheetData>
  <mergeCells count="1">
    <mergeCell ref="J4:K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00E9-0BB1-47EC-A66F-4B93CBB6B011}">
  <dimension ref="B2:Q35"/>
  <sheetViews>
    <sheetView tabSelected="1" workbookViewId="0">
      <selection activeCell="V6" sqref="V6"/>
    </sheetView>
  </sheetViews>
  <sheetFormatPr defaultRowHeight="15" x14ac:dyDescent="0.25"/>
  <cols>
    <col min="16" max="17" width="14.5703125" customWidth="1"/>
  </cols>
  <sheetData>
    <row r="2" spans="2:17" x14ac:dyDescent="0.25">
      <c r="B2" s="6" t="s">
        <v>34</v>
      </c>
      <c r="C2" s="6"/>
      <c r="D2" t="s">
        <v>42</v>
      </c>
      <c r="I2" t="s">
        <v>42</v>
      </c>
      <c r="M2" s="9" t="s">
        <v>34</v>
      </c>
      <c r="N2" t="s">
        <v>42</v>
      </c>
      <c r="O2" t="s">
        <v>48</v>
      </c>
      <c r="P2" t="s">
        <v>53</v>
      </c>
      <c r="Q2" t="s">
        <v>54</v>
      </c>
    </row>
    <row r="3" spans="2:17" x14ac:dyDescent="0.25">
      <c r="B3" t="s">
        <v>2</v>
      </c>
      <c r="C3" t="s">
        <v>37</v>
      </c>
      <c r="D3" t="s">
        <v>45</v>
      </c>
      <c r="G3" t="s">
        <v>46</v>
      </c>
      <c r="I3" s="7">
        <f>_xlfn.FORECAST.LINEAR(80,$D$7:$D$8,$C$7:$C$8)</f>
        <v>13.30452876313268</v>
      </c>
      <c r="J3" t="s">
        <v>45</v>
      </c>
      <c r="M3" t="s">
        <v>37</v>
      </c>
      <c r="N3" t="s">
        <v>45</v>
      </c>
      <c r="O3" t="s">
        <v>49</v>
      </c>
      <c r="P3" t="s">
        <v>55</v>
      </c>
      <c r="Q3" t="s">
        <v>55</v>
      </c>
    </row>
    <row r="4" spans="2:17" x14ac:dyDescent="0.25">
      <c r="B4">
        <f>'Part 1'!J6</f>
        <v>5</v>
      </c>
      <c r="C4">
        <f>'Part 1'!K6</f>
        <v>16.399999999999999</v>
      </c>
      <c r="D4">
        <f>'Part 1'!O6</f>
        <v>41.534656982618728</v>
      </c>
      <c r="G4" t="s">
        <v>47</v>
      </c>
      <c r="I4" s="8">
        <f>_xlfn.FORECAST.LINEAR(140,$D$11:$D$12,$C$11:$C$12)</f>
        <v>5.261200876633076</v>
      </c>
      <c r="J4" t="s">
        <v>45</v>
      </c>
      <c r="M4">
        <f t="shared" ref="M4:M8" si="0">+C4</f>
        <v>16.399999999999999</v>
      </c>
      <c r="N4">
        <f t="shared" ref="N4:N8" si="1">+D4</f>
        <v>41.534656982618728</v>
      </c>
    </row>
    <row r="5" spans="2:17" x14ac:dyDescent="0.25">
      <c r="B5">
        <f>'Part 1'!J7</f>
        <v>10</v>
      </c>
      <c r="C5">
        <f>'Part 1'!K7</f>
        <v>32.799999999999997</v>
      </c>
      <c r="D5">
        <f>'Part 1'!O7</f>
        <v>32.566941719769794</v>
      </c>
      <c r="M5">
        <f t="shared" si="0"/>
        <v>32.799999999999997</v>
      </c>
      <c r="N5">
        <f t="shared" si="1"/>
        <v>32.566941719769794</v>
      </c>
      <c r="O5">
        <f>(M5-M4)/$I$10</f>
        <v>2.2363636312809914</v>
      </c>
    </row>
    <row r="6" spans="2:17" x14ac:dyDescent="0.25">
      <c r="B6">
        <f>'Part 1'!J8</f>
        <v>15</v>
      </c>
      <c r="C6">
        <f>'Part 1'!K8</f>
        <v>49.199999999999996</v>
      </c>
      <c r="D6">
        <f>'Part 1'!O8</f>
        <v>23.872332159994919</v>
      </c>
      <c r="M6">
        <f t="shared" si="0"/>
        <v>49.199999999999996</v>
      </c>
      <c r="N6">
        <f t="shared" si="1"/>
        <v>23.872332159994919</v>
      </c>
      <c r="O6">
        <f t="shared" ref="O6:O35" si="2">(M6-M5)/$I$10</f>
        <v>2.2363636312809914</v>
      </c>
    </row>
    <row r="7" spans="2:17" x14ac:dyDescent="0.25">
      <c r="B7">
        <f>'Part 1'!J9</f>
        <v>20</v>
      </c>
      <c r="C7">
        <f>'Part 1'!K9</f>
        <v>65.599999999999994</v>
      </c>
      <c r="D7">
        <f>'Part 1'!O9</f>
        <v>17.31264337804889</v>
      </c>
      <c r="M7">
        <f t="shared" si="0"/>
        <v>65.599999999999994</v>
      </c>
      <c r="N7">
        <f t="shared" si="1"/>
        <v>17.31264337804889</v>
      </c>
      <c r="O7">
        <f t="shared" si="2"/>
        <v>2.2363636312809914</v>
      </c>
    </row>
    <row r="8" spans="2:17" x14ac:dyDescent="0.25">
      <c r="B8">
        <f>'Part 1'!J10</f>
        <v>25</v>
      </c>
      <c r="C8">
        <f>'Part 1'!K10</f>
        <v>82</v>
      </c>
      <c r="D8">
        <f>'Part 1'!O10</f>
        <v>12.747846177727649</v>
      </c>
      <c r="M8" s="7">
        <v>80</v>
      </c>
      <c r="N8">
        <f>+I3</f>
        <v>13.30452876313268</v>
      </c>
      <c r="O8">
        <f t="shared" si="2"/>
        <v>1.9636363591735544</v>
      </c>
    </row>
    <row r="9" spans="2:17" x14ac:dyDescent="0.25">
      <c r="B9">
        <f>'Part 1'!J11</f>
        <v>30</v>
      </c>
      <c r="C9">
        <f>'Part 1'!K11</f>
        <v>98.399999999999991</v>
      </c>
      <c r="D9">
        <f>'Part 1'!O11</f>
        <v>9.6111876863569154</v>
      </c>
      <c r="G9" t="s">
        <v>50</v>
      </c>
      <c r="I9">
        <v>5</v>
      </c>
      <c r="J9" t="s">
        <v>51</v>
      </c>
      <c r="M9">
        <f>+C8</f>
        <v>82</v>
      </c>
      <c r="N9">
        <f>+D8</f>
        <v>12.747846177727649</v>
      </c>
      <c r="O9">
        <f t="shared" si="2"/>
        <v>0.27272727210743802</v>
      </c>
      <c r="P9">
        <f t="shared" ref="P9:P13" si="3">O9*AVERAGE(N8,N9)^(4/3)</f>
        <v>8.358948845293602</v>
      </c>
      <c r="Q9">
        <f t="shared" ref="Q9:Q13" si="4">+P9+Q8</f>
        <v>8.358948845293602</v>
      </c>
    </row>
    <row r="10" spans="2:17" x14ac:dyDescent="0.25">
      <c r="B10">
        <f>'Part 1'!J12</f>
        <v>35</v>
      </c>
      <c r="C10">
        <f>'Part 1'!K12</f>
        <v>114.8</v>
      </c>
      <c r="D10">
        <f>'Part 1'!O12</f>
        <v>7.4264685280291598</v>
      </c>
      <c r="I10">
        <f>1.46666667*I9</f>
        <v>7.3333333500000002</v>
      </c>
      <c r="J10" t="s">
        <v>52</v>
      </c>
      <c r="M10">
        <f>+C9</f>
        <v>98.399999999999991</v>
      </c>
      <c r="N10">
        <f>+D9</f>
        <v>9.6111876863569154</v>
      </c>
      <c r="O10">
        <f t="shared" si="2"/>
        <v>2.2363636312809905</v>
      </c>
      <c r="P10">
        <f t="shared" si="3"/>
        <v>55.903603754219908</v>
      </c>
      <c r="Q10">
        <f t="shared" si="4"/>
        <v>64.262552599513512</v>
      </c>
    </row>
    <row r="11" spans="2:17" x14ac:dyDescent="0.25">
      <c r="B11">
        <f>'Part 1'!J13</f>
        <v>40</v>
      </c>
      <c r="C11">
        <f>'Part 1'!K13</f>
        <v>131.19999999999999</v>
      </c>
      <c r="D11">
        <f>'Part 1'!O13</f>
        <v>5.8704046065949687</v>
      </c>
      <c r="M11">
        <f>+C10</f>
        <v>114.8</v>
      </c>
      <c r="N11">
        <f>+D10</f>
        <v>7.4264685280291598</v>
      </c>
      <c r="O11">
        <f t="shared" si="2"/>
        <v>2.2363636312809922</v>
      </c>
      <c r="P11">
        <f t="shared" si="3"/>
        <v>38.908894760538388</v>
      </c>
      <c r="Q11">
        <f t="shared" si="4"/>
        <v>103.1714473600519</v>
      </c>
    </row>
    <row r="12" spans="2:17" x14ac:dyDescent="0.25">
      <c r="B12">
        <f>'Part 1'!J14</f>
        <v>45</v>
      </c>
      <c r="C12">
        <f>'Part 1'!K14</f>
        <v>147.6</v>
      </c>
      <c r="D12">
        <f>'Part 1'!O14</f>
        <v>4.7350703825750804</v>
      </c>
      <c r="M12">
        <f>+C11</f>
        <v>131.19999999999999</v>
      </c>
      <c r="N12">
        <f>+D11</f>
        <v>5.8704046065949687</v>
      </c>
      <c r="O12">
        <f t="shared" si="2"/>
        <v>2.2363636312809905</v>
      </c>
      <c r="P12">
        <f t="shared" si="3"/>
        <v>27.957722741168276</v>
      </c>
      <c r="Q12">
        <f t="shared" si="4"/>
        <v>131.12917010122018</v>
      </c>
    </row>
    <row r="13" spans="2:17" x14ac:dyDescent="0.25">
      <c r="B13">
        <f>'Part 1'!J15</f>
        <v>50</v>
      </c>
      <c r="C13">
        <f>'Part 1'!K15</f>
        <v>164</v>
      </c>
      <c r="D13">
        <f>'Part 1'!O15</f>
        <v>3.8873424604842124</v>
      </c>
      <c r="M13" s="8">
        <v>140</v>
      </c>
      <c r="N13">
        <f>I4</f>
        <v>5.261200876633076</v>
      </c>
      <c r="O13">
        <f t="shared" si="2"/>
        <v>1.1999999972727289</v>
      </c>
      <c r="P13">
        <f t="shared" si="3"/>
        <v>11.83636435841407</v>
      </c>
      <c r="Q13">
        <f t="shared" si="4"/>
        <v>142.96553445963426</v>
      </c>
    </row>
    <row r="14" spans="2:17" x14ac:dyDescent="0.25">
      <c r="B14">
        <f>'Part 1'!J16</f>
        <v>55</v>
      </c>
      <c r="C14">
        <f>'Part 1'!K16</f>
        <v>180.39999999999998</v>
      </c>
      <c r="D14">
        <f>'Part 1'!O16</f>
        <v>3.2408153682460665</v>
      </c>
      <c r="M14">
        <f>+C12</f>
        <v>147.6</v>
      </c>
      <c r="N14">
        <f>+D12</f>
        <v>4.7350703825750804</v>
      </c>
      <c r="O14">
        <f t="shared" si="2"/>
        <v>1.0363636340082636</v>
      </c>
      <c r="P14">
        <f>O14*AVERAGE(N13,N14)^(4/3)</f>
        <v>8.8563794288337991</v>
      </c>
      <c r="Q14">
        <f>+P14+Q13</f>
        <v>151.82191388846806</v>
      </c>
    </row>
    <row r="15" spans="2:17" x14ac:dyDescent="0.25">
      <c r="B15">
        <f>'Part 1'!J17</f>
        <v>60</v>
      </c>
      <c r="C15">
        <f>'Part 1'!K17</f>
        <v>196.79999999999998</v>
      </c>
      <c r="D15">
        <f>'Part 1'!O17</f>
        <v>2.7382574060858778</v>
      </c>
      <c r="M15">
        <f>+C13</f>
        <v>164</v>
      </c>
      <c r="N15">
        <f>+D13</f>
        <v>3.8873424604842124</v>
      </c>
      <c r="O15">
        <f t="shared" si="2"/>
        <v>2.2363636312809922</v>
      </c>
      <c r="P15">
        <f t="shared" ref="P15:P35" si="5">O15*AVERAGE(N14,N15)^(4/3)</f>
        <v>15.691851068464866</v>
      </c>
      <c r="Q15">
        <f t="shared" ref="Q15:Q35" si="6">+P15+Q14</f>
        <v>167.51376495693293</v>
      </c>
    </row>
    <row r="16" spans="2:17" x14ac:dyDescent="0.25">
      <c r="B16">
        <f>'Part 1'!J18</f>
        <v>65</v>
      </c>
      <c r="C16">
        <f>'Part 1'!K18</f>
        <v>213.2</v>
      </c>
      <c r="D16">
        <f>'Part 1'!O18</f>
        <v>2.3409145076627498</v>
      </c>
      <c r="M16">
        <f>+C14</f>
        <v>180.39999999999998</v>
      </c>
      <c r="N16">
        <f>+D14</f>
        <v>3.2408153682460665</v>
      </c>
      <c r="O16">
        <f t="shared" si="2"/>
        <v>2.2363636312809887</v>
      </c>
      <c r="P16">
        <f t="shared" si="5"/>
        <v>12.175089699482458</v>
      </c>
      <c r="Q16">
        <f t="shared" si="6"/>
        <v>179.6888546564154</v>
      </c>
    </row>
    <row r="17" spans="2:17" x14ac:dyDescent="0.25">
      <c r="B17">
        <f>'Part 1'!J19</f>
        <v>70</v>
      </c>
      <c r="C17">
        <f>'Part 1'!K19</f>
        <v>229.6</v>
      </c>
      <c r="D17">
        <f>'Part 1'!O19</f>
        <v>2.0219665692066333</v>
      </c>
      <c r="M17">
        <f>+C15</f>
        <v>196.79999999999998</v>
      </c>
      <c r="N17">
        <f>+D15</f>
        <v>2.7382574060858778</v>
      </c>
      <c r="O17">
        <f t="shared" si="2"/>
        <v>2.2363636312809922</v>
      </c>
      <c r="P17">
        <f t="shared" si="5"/>
        <v>9.6312105987211716</v>
      </c>
      <c r="Q17">
        <f t="shared" si="6"/>
        <v>189.32006525513657</v>
      </c>
    </row>
    <row r="18" spans="2:17" x14ac:dyDescent="0.25">
      <c r="B18">
        <f>'Part 1'!J20</f>
        <v>75</v>
      </c>
      <c r="C18">
        <f>'Part 1'!K20</f>
        <v>245.99999999999997</v>
      </c>
      <c r="D18">
        <f>'Part 1'!O20</f>
        <v>1.7624654789735454</v>
      </c>
      <c r="M18">
        <f>+C16</f>
        <v>213.2</v>
      </c>
      <c r="N18">
        <f>+D16</f>
        <v>2.3409145076627498</v>
      </c>
      <c r="O18">
        <f t="shared" si="2"/>
        <v>2.2363636312809922</v>
      </c>
      <c r="P18">
        <f t="shared" si="5"/>
        <v>7.7486547375908694</v>
      </c>
      <c r="Q18">
        <f t="shared" si="6"/>
        <v>197.06871999272744</v>
      </c>
    </row>
    <row r="19" spans="2:17" x14ac:dyDescent="0.25">
      <c r="B19">
        <f>'Part 1'!J21</f>
        <v>80</v>
      </c>
      <c r="C19">
        <f>'Part 1'!K21</f>
        <v>262.39999999999998</v>
      </c>
      <c r="D19">
        <f>'Part 1'!O21</f>
        <v>1.5487655623977308</v>
      </c>
      <c r="M19">
        <f>+C17</f>
        <v>229.6</v>
      </c>
      <c r="N19">
        <f>+D17</f>
        <v>2.0219665692066333</v>
      </c>
      <c r="O19">
        <f t="shared" si="2"/>
        <v>2.2363636312809922</v>
      </c>
      <c r="P19">
        <f t="shared" si="5"/>
        <v>6.3270353409867433</v>
      </c>
      <c r="Q19">
        <f t="shared" si="6"/>
        <v>203.39575533371419</v>
      </c>
    </row>
    <row r="20" spans="2:17" x14ac:dyDescent="0.25">
      <c r="B20">
        <f>'Part 1'!J22</f>
        <v>85</v>
      </c>
      <c r="C20">
        <f>'Part 1'!K22</f>
        <v>278.8</v>
      </c>
      <c r="D20">
        <f>'Part 1'!O22</f>
        <v>1.370864936117828</v>
      </c>
      <c r="M20">
        <f>+C18</f>
        <v>245.99999999999997</v>
      </c>
      <c r="N20">
        <f>+D18</f>
        <v>1.7624654789735454</v>
      </c>
      <c r="O20">
        <f t="shared" si="2"/>
        <v>2.2363636312809887</v>
      </c>
      <c r="P20">
        <f t="shared" si="5"/>
        <v>5.2340360419284488</v>
      </c>
      <c r="Q20">
        <f t="shared" si="6"/>
        <v>208.62979137564264</v>
      </c>
    </row>
    <row r="21" spans="2:17" x14ac:dyDescent="0.25">
      <c r="B21">
        <f>'Part 1'!J23</f>
        <v>90</v>
      </c>
      <c r="C21">
        <f>'Part 1'!K23</f>
        <v>295.2</v>
      </c>
      <c r="D21">
        <f>'Part 1'!O23</f>
        <v>1.2213131215087598</v>
      </c>
      <c r="M21">
        <f>+C19</f>
        <v>262.39999999999998</v>
      </c>
      <c r="N21" s="8">
        <f>+D19</f>
        <v>1.5487655623977308</v>
      </c>
      <c r="O21">
        <f t="shared" si="2"/>
        <v>2.2363636312809922</v>
      </c>
      <c r="P21">
        <f t="shared" si="5"/>
        <v>4.3801441809749413</v>
      </c>
      <c r="Q21">
        <f t="shared" si="6"/>
        <v>213.00993555661759</v>
      </c>
    </row>
    <row r="22" spans="2:17" x14ac:dyDescent="0.25">
      <c r="B22">
        <f>'Part 1'!J24</f>
        <v>95</v>
      </c>
      <c r="C22">
        <f>'Part 1'!K24</f>
        <v>311.59999999999997</v>
      </c>
      <c r="D22">
        <f>'Part 1'!O24</f>
        <v>1.094477562596786</v>
      </c>
      <c r="M22">
        <f>+C20</f>
        <v>278.8</v>
      </c>
      <c r="N22">
        <f>+D20</f>
        <v>1.370864936117828</v>
      </c>
      <c r="O22">
        <f t="shared" si="2"/>
        <v>2.2363636312809962</v>
      </c>
    </row>
    <row r="23" spans="2:17" x14ac:dyDescent="0.25">
      <c r="B23">
        <f>'Part 1'!J25</f>
        <v>100</v>
      </c>
      <c r="C23">
        <f>'Part 1'!K25</f>
        <v>328</v>
      </c>
      <c r="D23">
        <f>'Part 1'!O25</f>
        <v>0.98604205646739163</v>
      </c>
      <c r="M23">
        <f>+C21</f>
        <v>295.2</v>
      </c>
      <c r="N23">
        <f>+D21</f>
        <v>1.2213131215087598</v>
      </c>
      <c r="O23">
        <f t="shared" si="2"/>
        <v>2.2363636312809887</v>
      </c>
    </row>
    <row r="24" spans="2:17" x14ac:dyDescent="0.25">
      <c r="B24">
        <f>'Part 1'!J26</f>
        <v>105</v>
      </c>
      <c r="C24">
        <f>'Part 1'!K26</f>
        <v>344.4</v>
      </c>
      <c r="D24">
        <f>'Part 1'!O26</f>
        <v>0.89265785721939139</v>
      </c>
      <c r="M24">
        <f>+C22</f>
        <v>311.59999999999997</v>
      </c>
      <c r="N24">
        <f>+D22</f>
        <v>1.094477562596786</v>
      </c>
      <c r="O24">
        <f t="shared" si="2"/>
        <v>2.2363636312809887</v>
      </c>
    </row>
    <row r="25" spans="2:17" x14ac:dyDescent="0.25">
      <c r="B25">
        <f>'Part 1'!J27</f>
        <v>110</v>
      </c>
      <c r="C25">
        <f>'Part 1'!K27</f>
        <v>360.79999999999995</v>
      </c>
      <c r="D25">
        <f>'Part 1'!O27</f>
        <v>0.8116970846585102</v>
      </c>
      <c r="M25">
        <f>+C23</f>
        <v>328</v>
      </c>
      <c r="N25">
        <f>+D23</f>
        <v>0.98604205646739163</v>
      </c>
      <c r="O25">
        <f t="shared" si="2"/>
        <v>2.2363636312809962</v>
      </c>
    </row>
    <row r="26" spans="2:17" x14ac:dyDescent="0.25">
      <c r="B26">
        <f>'Part 1'!J28</f>
        <v>115</v>
      </c>
      <c r="C26">
        <f>'Part 1'!K28</f>
        <v>377.2</v>
      </c>
      <c r="D26">
        <f>'Part 1'!O28</f>
        <v>0.7410758396220648</v>
      </c>
      <c r="M26">
        <f>+C24</f>
        <v>344.4</v>
      </c>
      <c r="N26">
        <f>+D24</f>
        <v>0.89265785721939139</v>
      </c>
      <c r="O26">
        <f t="shared" si="2"/>
        <v>2.2363636312809887</v>
      </c>
    </row>
    <row r="27" spans="2:17" x14ac:dyDescent="0.25">
      <c r="B27">
        <f>'Part 1'!J29</f>
        <v>120</v>
      </c>
      <c r="C27">
        <f>'Part 1'!K29</f>
        <v>393.59999999999997</v>
      </c>
      <c r="D27">
        <f>'Part 1'!O29</f>
        <v>0.67912556362298948</v>
      </c>
      <c r="M27">
        <f>+C25</f>
        <v>360.79999999999995</v>
      </c>
      <c r="N27">
        <f>+D25</f>
        <v>0.8116970846585102</v>
      </c>
      <c r="O27">
        <f t="shared" si="2"/>
        <v>2.2363636312809887</v>
      </c>
    </row>
    <row r="28" spans="2:17" x14ac:dyDescent="0.25">
      <c r="B28">
        <f>'Part 1'!J30</f>
        <v>125</v>
      </c>
      <c r="C28">
        <f>'Part 1'!K30</f>
        <v>410</v>
      </c>
      <c r="D28">
        <f>'Part 1'!O30</f>
        <v>0.62449828074545644</v>
      </c>
      <c r="M28">
        <f>+C26</f>
        <v>377.2</v>
      </c>
      <c r="N28">
        <f>+D26</f>
        <v>0.7410758396220648</v>
      </c>
      <c r="O28">
        <f t="shared" si="2"/>
        <v>2.2363636312809962</v>
      </c>
    </row>
    <row r="29" spans="2:17" x14ac:dyDescent="0.25">
      <c r="B29">
        <f>'Part 1'!J31</f>
        <v>130</v>
      </c>
      <c r="C29">
        <f>'Part 1'!K31</f>
        <v>426.4</v>
      </c>
      <c r="D29">
        <f>'Part 1'!O31</f>
        <v>0.57609596275810759</v>
      </c>
      <c r="M29">
        <f>+C27</f>
        <v>393.59999999999997</v>
      </c>
      <c r="N29">
        <f>+D27</f>
        <v>0.67912556362298948</v>
      </c>
      <c r="O29">
        <f t="shared" si="2"/>
        <v>2.2363636312809887</v>
      </c>
    </row>
    <row r="30" spans="2:17" x14ac:dyDescent="0.25">
      <c r="B30">
        <f>'Part 1'!J32</f>
        <v>135</v>
      </c>
      <c r="C30">
        <f>'Part 1'!K32</f>
        <v>442.79999999999995</v>
      </c>
      <c r="D30">
        <f>'Part 1'!O32</f>
        <v>0.53301729005077525</v>
      </c>
      <c r="M30">
        <f>+C28</f>
        <v>410</v>
      </c>
      <c r="N30">
        <f>+D28</f>
        <v>0.62449828074545644</v>
      </c>
      <c r="O30">
        <f t="shared" si="2"/>
        <v>2.2363636312809962</v>
      </c>
    </row>
    <row r="31" spans="2:17" x14ac:dyDescent="0.25">
      <c r="B31">
        <f>'Part 1'!J33</f>
        <v>140</v>
      </c>
      <c r="C31">
        <f>'Part 1'!K33</f>
        <v>459.2</v>
      </c>
      <c r="D31">
        <f>'Part 1'!O33</f>
        <v>0.49451710777546815</v>
      </c>
      <c r="M31">
        <f>+C29</f>
        <v>426.4</v>
      </c>
      <c r="N31">
        <f>+D29</f>
        <v>0.57609596275810759</v>
      </c>
      <c r="O31">
        <f t="shared" si="2"/>
        <v>2.2363636312809887</v>
      </c>
    </row>
    <row r="32" spans="2:17" x14ac:dyDescent="0.25">
      <c r="B32">
        <f>'Part 1'!J34</f>
        <v>145</v>
      </c>
      <c r="C32">
        <f>'Part 1'!K34</f>
        <v>475.59999999999997</v>
      </c>
      <c r="D32">
        <f>'Part 1'!O34</f>
        <v>0.45997525081716178</v>
      </c>
      <c r="M32">
        <f>+C30</f>
        <v>442.79999999999995</v>
      </c>
      <c r="N32">
        <f>+D30</f>
        <v>0.53301729005077525</v>
      </c>
      <c r="O32">
        <f t="shared" si="2"/>
        <v>2.2363636312809887</v>
      </c>
    </row>
    <row r="33" spans="2:15" x14ac:dyDescent="0.25">
      <c r="B33">
        <f>'Part 1'!J35</f>
        <v>150</v>
      </c>
      <c r="C33">
        <f>'Part 1'!K35</f>
        <v>491.99999999999994</v>
      </c>
      <c r="D33">
        <f>'Part 1'!O35</f>
        <v>0.42887235550361064</v>
      </c>
      <c r="M33">
        <f>+C31</f>
        <v>459.2</v>
      </c>
      <c r="N33">
        <f>+D31</f>
        <v>0.49451710777546815</v>
      </c>
      <c r="O33">
        <f t="shared" si="2"/>
        <v>2.2363636312809962</v>
      </c>
    </row>
    <row r="34" spans="2:15" x14ac:dyDescent="0.25">
      <c r="M34">
        <f>+C32</f>
        <v>475.59999999999997</v>
      </c>
      <c r="N34">
        <f>+D32</f>
        <v>0.45997525081716178</v>
      </c>
      <c r="O34">
        <f t="shared" si="2"/>
        <v>2.2363636312809887</v>
      </c>
    </row>
    <row r="35" spans="2:15" x14ac:dyDescent="0.25">
      <c r="M35">
        <f>+C33</f>
        <v>491.99999999999994</v>
      </c>
      <c r="N35">
        <f>+D33</f>
        <v>0.42887235550361064</v>
      </c>
      <c r="O35">
        <f t="shared" si="2"/>
        <v>2.2363636312809887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1</vt:lpstr>
      <vt:lpstr>Part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Knight</dc:creator>
  <cp:lastModifiedBy>Greg Knight</cp:lastModifiedBy>
  <dcterms:created xsi:type="dcterms:W3CDTF">2025-04-28T15:59:49Z</dcterms:created>
  <dcterms:modified xsi:type="dcterms:W3CDTF">2025-04-28T17:57:11Z</dcterms:modified>
</cp:coreProperties>
</file>